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P:\700 QMS\in-Bearbeitung-QM\"/>
    </mc:Choice>
  </mc:AlternateContent>
  <xr:revisionPtr revIDLastSave="0" documentId="13_ncr:1_{EF22FA2D-667B-4F91-B00B-E3533B8CD97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486" yWindow="-12446" windowWidth="29692" windowHeight="11829"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11" i="5"/>
  <c r="J11" i="5"/>
  <c r="E11" i="5"/>
  <c r="X11" i="5" s="1"/>
  <c r="V12" i="5"/>
  <c r="J12" i="5"/>
  <c r="E12" i="5"/>
  <c r="V13" i="5"/>
  <c r="J13" i="5"/>
  <c r="E13" i="5"/>
  <c r="X13" i="5" s="1"/>
  <c r="V14" i="5"/>
  <c r="V15" i="5"/>
  <c r="J15" i="5"/>
  <c r="E15" i="5"/>
  <c r="V16" i="5"/>
  <c r="J16" i="5"/>
  <c r="E16" i="5"/>
  <c r="X16" i="5" s="1"/>
  <c r="V17" i="5"/>
  <c r="V18" i="5"/>
  <c r="J18" i="5"/>
  <c r="E18" i="5"/>
  <c r="X18" i="5" s="1"/>
  <c r="V19" i="5"/>
  <c r="J19" i="5"/>
  <c r="E19" i="5"/>
  <c r="X19" i="5" s="1"/>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G5" i="5"/>
  <c r="V6" i="5"/>
  <c r="G6" i="5"/>
  <c r="J6" i="5"/>
  <c r="V7" i="5"/>
  <c r="G7" i="5"/>
  <c r="J7" i="5"/>
  <c r="V8" i="5"/>
  <c r="E8" i="5"/>
  <c r="X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V9" i="5"/>
  <c r="E9" i="5"/>
  <c r="X9" i="5" s="1"/>
  <c r="V10" i="5"/>
  <c r="I10" i="5"/>
  <c r="E10" i="5"/>
  <c r="X10" i="5" s="1"/>
  <c r="X14" i="5"/>
  <c r="X17" i="5"/>
  <c r="V20" i="5"/>
  <c r="X20" i="5"/>
  <c r="V21" i="5"/>
  <c r="X21" i="5"/>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8" i="5"/>
  <c r="G11" i="5"/>
  <c r="G12" i="5"/>
  <c r="G13" i="5"/>
  <c r="G15" i="5"/>
  <c r="G16" i="5"/>
  <c r="G18" i="5"/>
  <c r="G19"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9" i="6"/>
  <c r="H9" i="6"/>
  <c r="D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H56" i="6" s="1"/>
  <c r="D56" i="6" s="1"/>
  <c r="B55" i="6"/>
  <c r="G55" i="6"/>
  <c r="B54" i="6"/>
  <c r="G54" i="6"/>
  <c r="B17" i="6"/>
  <c r="B16" i="6"/>
  <c r="F21" i="6"/>
  <c r="B15" i="6"/>
  <c r="F20" i="6"/>
  <c r="B14" i="6"/>
  <c r="B19" i="6"/>
  <c r="G14" i="6"/>
  <c r="H14" i="6"/>
  <c r="H13" i="6"/>
  <c r="B12" i="6"/>
  <c r="G12" i="6" s="1"/>
  <c r="H12" i="6" s="1"/>
  <c r="D12" i="6" s="1"/>
  <c r="B11" i="6"/>
  <c r="G11" i="6"/>
  <c r="H11" i="6"/>
  <c r="D11" i="6"/>
  <c r="G10" i="6"/>
  <c r="H10" i="6"/>
  <c r="D10" i="6"/>
  <c r="B8" i="6"/>
  <c r="G8" i="6"/>
  <c r="H8" i="6"/>
  <c r="D8" i="6"/>
  <c r="B7" i="6"/>
  <c r="G7" i="6"/>
  <c r="H7" i="6"/>
  <c r="D7" i="6"/>
  <c r="B6" i="6"/>
  <c r="G6" i="6"/>
  <c r="H6" i="6"/>
  <c r="D6" i="6"/>
  <c r="B5" i="6"/>
  <c r="F6" i="6"/>
  <c r="B4" i="6"/>
  <c r="G4" i="6"/>
  <c r="H4" i="6"/>
  <c r="D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B45" i="4"/>
  <c r="A30" i="6" s="1"/>
  <c r="P44" i="4"/>
  <c r="P43" i="4"/>
  <c r="Q43" i="4"/>
  <c r="P41" i="4"/>
  <c r="B41" i="4"/>
  <c r="A27" i="6" s="1"/>
  <c r="P40" i="4"/>
  <c r="B40" i="4"/>
  <c r="A26" i="6" s="1"/>
  <c r="P39" i="4"/>
  <c r="B39" i="4"/>
  <c r="B63" i="4" s="1"/>
  <c r="A45" i="6" s="1"/>
  <c r="P38" i="4"/>
  <c r="B38" i="4"/>
  <c r="A24" i="6" s="1"/>
  <c r="P37" i="4"/>
  <c r="Q37" i="4"/>
  <c r="P35" i="4"/>
  <c r="P34" i="4"/>
  <c r="P33" i="4"/>
  <c r="P32" i="4"/>
  <c r="P31" i="4"/>
  <c r="Q31" i="4"/>
  <c r="P29" i="4"/>
  <c r="B29" i="4"/>
  <c r="A17" i="6" s="1"/>
  <c r="P28" i="4"/>
  <c r="P27" i="4"/>
  <c r="B27" i="4"/>
  <c r="B33" i="4" s="1"/>
  <c r="A20" i="6" s="1"/>
  <c r="P26" i="4"/>
  <c r="B26" i="4"/>
  <c r="A14"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6" i="5"/>
  <c r="I19" i="5"/>
  <c r="AB20" i="5"/>
  <c r="G68" i="6" s="1"/>
  <c r="H68" i="6" s="1"/>
  <c r="D68" i="6" s="1"/>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114" i="5"/>
  <c r="F118" i="5"/>
  <c r="R118" i="5"/>
  <c r="J118"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27" i="6"/>
  <c r="G27" i="6"/>
  <c r="F27" i="6"/>
  <c r="F42" i="6"/>
  <c r="F2442" i="5"/>
  <c r="J2442" i="5"/>
  <c r="I2442" i="5"/>
  <c r="H2442" i="5"/>
  <c r="AB2460" i="5"/>
  <c r="F2497" i="5"/>
  <c r="R2497" i="5"/>
  <c r="J2497" i="5"/>
  <c r="I2497" i="5"/>
  <c r="H2497" i="5"/>
  <c r="S2501" i="5"/>
  <c r="F64" i="6"/>
  <c r="G5" i="6"/>
  <c r="H5" i="6"/>
  <c r="D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G16" i="6"/>
  <c r="H16" i="6"/>
  <c r="A38" i="2"/>
  <c r="J4" i="5"/>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C20" i="6" s="1"/>
  <c r="J27" i="6"/>
  <c r="I29" i="6"/>
  <c r="C29" i="6" s="1"/>
  <c r="I30" i="6"/>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37" i="4" s="1"/>
  <c r="B44" i="4"/>
  <c r="A29"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S600" i="5"/>
  <c r="S382" i="5"/>
  <c r="S533" i="5"/>
  <c r="S355" i="5"/>
  <c r="S602" i="5"/>
  <c r="S603" i="5"/>
  <c r="S605" i="5"/>
  <c r="S607" i="5"/>
  <c r="S314"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H13" i="5"/>
  <c r="R13" i="5"/>
  <c r="I13" i="5"/>
  <c r="H17" i="5"/>
  <c r="R17" i="5"/>
  <c r="I12" i="5"/>
  <c r="R12" i="5"/>
  <c r="H12" i="5"/>
  <c r="H8" i="5"/>
  <c r="I8" i="5"/>
  <c r="F8" i="5"/>
  <c r="H15" i="5"/>
  <c r="I15" i="5"/>
  <c r="R15" i="5"/>
  <c r="H11" i="5"/>
  <c r="R11" i="5"/>
  <c r="I11" i="5"/>
  <c r="R14" i="5"/>
  <c r="H14" i="5"/>
  <c r="G10" i="5"/>
  <c r="H10" i="5"/>
  <c r="J10" i="5"/>
  <c r="R10" i="5"/>
  <c r="F10" i="5"/>
  <c r="G9" i="5"/>
  <c r="R9" i="5"/>
  <c r="F9" i="5"/>
  <c r="I9" i="5"/>
  <c r="J9" i="5"/>
  <c r="H9" i="5"/>
  <c r="R8" i="5"/>
  <c r="J8" i="5"/>
  <c r="I7" i="5"/>
  <c r="F7" i="5"/>
  <c r="R7" i="5"/>
  <c r="H7" i="5"/>
  <c r="E7" i="5"/>
  <c r="X7" i="5" s="1"/>
  <c r="I5" i="5"/>
  <c r="H5" i="5"/>
  <c r="E5" i="5"/>
  <c r="X5" i="5" s="1"/>
  <c r="R5" i="5"/>
  <c r="J5" i="5"/>
  <c r="D17" i="6"/>
  <c r="H22" i="6"/>
  <c r="D22" i="6"/>
  <c r="G22" i="6"/>
  <c r="F37" i="6"/>
  <c r="H37" i="6"/>
  <c r="D37" i="6"/>
  <c r="B42" i="6"/>
  <c r="G42" i="6"/>
  <c r="H42" i="6"/>
  <c r="F47" i="6"/>
  <c r="B37" i="6"/>
  <c r="G37" i="6"/>
  <c r="B52" i="6"/>
  <c r="G52" i="6"/>
  <c r="F32" i="6"/>
  <c r="H32" i="6"/>
  <c r="D32" i="6"/>
  <c r="H27" i="6"/>
  <c r="D27" i="6"/>
  <c r="B32" i="6"/>
  <c r="G32" i="6"/>
  <c r="B47" i="6"/>
  <c r="G47" i="6"/>
  <c r="F52" i="6"/>
  <c r="F68" i="6"/>
  <c r="B21" i="6"/>
  <c r="B31" i="6"/>
  <c r="G31" i="6"/>
  <c r="F26" i="6"/>
  <c r="B41" i="6"/>
  <c r="G41" i="6"/>
  <c r="B20" i="6"/>
  <c r="B50" i="6"/>
  <c r="G50" i="6"/>
  <c r="B45" i="6"/>
  <c r="G45" i="6"/>
  <c r="B40" i="6"/>
  <c r="G40" i="6"/>
  <c r="B89" i="4"/>
  <c r="A63" i="6" s="1"/>
  <c r="B79" i="4"/>
  <c r="A57" i="6" s="1"/>
  <c r="B87" i="4"/>
  <c r="A62" i="6" s="1"/>
  <c r="B81" i="4"/>
  <c r="A58" i="6" s="1"/>
  <c r="B83" i="4"/>
  <c r="A59" i="6" s="1"/>
  <c r="B55" i="4"/>
  <c r="A38" i="6" s="1"/>
  <c r="B31" i="4"/>
  <c r="A18" i="6" s="1"/>
  <c r="B75" i="4"/>
  <c r="A54" i="6" s="1"/>
  <c r="B49" i="4"/>
  <c r="A33" i="6" s="1"/>
  <c r="B85" i="4"/>
  <c r="A60" i="6" s="1"/>
  <c r="B67" i="4"/>
  <c r="A48" i="6" s="1"/>
  <c r="B37" i="4"/>
  <c r="A23" i="6" s="1"/>
  <c r="B43" i="4"/>
  <c r="A28" i="6" s="1"/>
  <c r="B77" i="4"/>
  <c r="A55" i="6" s="1"/>
  <c r="B61" i="4"/>
  <c r="A43" i="6" s="1"/>
  <c r="B39" i="6"/>
  <c r="G39" i="6"/>
  <c r="G19" i="6"/>
  <c r="H19" i="6"/>
  <c r="D19" i="6"/>
  <c r="B49" i="6"/>
  <c r="G49" i="6"/>
  <c r="B34" i="6"/>
  <c r="G34" i="6"/>
  <c r="B44" i="6"/>
  <c r="G44" i="6"/>
  <c r="B29" i="6"/>
  <c r="G29" i="6"/>
  <c r="F24" i="6"/>
  <c r="B24" i="6"/>
  <c r="G24" i="6"/>
  <c r="D42" i="6"/>
  <c r="H47" i="6"/>
  <c r="H52" i="6"/>
  <c r="K68" i="6"/>
  <c r="F67" i="6"/>
  <c r="F51" i="6"/>
  <c r="F31" i="6"/>
  <c r="H31" i="6"/>
  <c r="F41" i="6"/>
  <c r="H41" i="6"/>
  <c r="F46" i="6"/>
  <c r="F36" i="6"/>
  <c r="B51" i="6"/>
  <c r="G51" i="6"/>
  <c r="B36" i="6"/>
  <c r="G36" i="6"/>
  <c r="G21" i="6"/>
  <c r="H21" i="6"/>
  <c r="B26" i="6"/>
  <c r="G26" i="6"/>
  <c r="H26" i="6"/>
  <c r="B46" i="6"/>
  <c r="G46" i="6"/>
  <c r="B25" i="6"/>
  <c r="G25" i="6"/>
  <c r="B30" i="6"/>
  <c r="G30" i="6"/>
  <c r="G20" i="6"/>
  <c r="H20" i="6"/>
  <c r="B35" i="6"/>
  <c r="G35" i="6"/>
  <c r="F25" i="6"/>
  <c r="F34" i="6"/>
  <c r="H34" i="6"/>
  <c r="F39" i="6"/>
  <c r="H39" i="6"/>
  <c r="F54" i="6"/>
  <c r="F65" i="6"/>
  <c r="F49" i="6"/>
  <c r="H49" i="6"/>
  <c r="H24" i="6"/>
  <c r="F29" i="6"/>
  <c r="H29" i="6"/>
  <c r="F44" i="6"/>
  <c r="H44" i="6"/>
  <c r="K65" i="6"/>
  <c r="D47" i="6"/>
  <c r="D52" i="6"/>
  <c r="D26" i="6"/>
  <c r="D21" i="6"/>
  <c r="K67" i="6"/>
  <c r="H36" i="6"/>
  <c r="H46" i="6"/>
  <c r="D41" i="6"/>
  <c r="D31" i="6"/>
  <c r="H51" i="6"/>
  <c r="F45" i="6"/>
  <c r="H45" i="6"/>
  <c r="F50" i="6"/>
  <c r="H50" i="6"/>
  <c r="F30" i="6"/>
  <c r="H30" i="6"/>
  <c r="D30" i="6" s="1"/>
  <c r="H25" i="6"/>
  <c r="F35" i="6"/>
  <c r="H35" i="6"/>
  <c r="F66" i="6"/>
  <c r="F40" i="6"/>
  <c r="H40" i="6"/>
  <c r="D20" i="6"/>
  <c r="K66" i="6"/>
  <c r="D44" i="6"/>
  <c r="D29" i="6"/>
  <c r="D24" i="6"/>
  <c r="D49" i="6"/>
  <c r="C2" i="6"/>
  <c r="B2" i="6"/>
  <c r="F55" i="6"/>
  <c r="F57" i="6"/>
  <c r="H57" i="6"/>
  <c r="F58" i="6"/>
  <c r="H58" i="6"/>
  <c r="F60" i="6"/>
  <c r="H60" i="6"/>
  <c r="F63" i="6"/>
  <c r="H63" i="6"/>
  <c r="F59" i="6"/>
  <c r="H59" i="6"/>
  <c r="H54" i="6"/>
  <c r="F62" i="6"/>
  <c r="H62" i="6"/>
  <c r="D39" i="6"/>
  <c r="D34" i="6"/>
  <c r="D51" i="6"/>
  <c r="D46" i="6"/>
  <c r="D36" i="6"/>
  <c r="D40" i="6"/>
  <c r="D35" i="6"/>
  <c r="D25" i="6"/>
  <c r="D50" i="6"/>
  <c r="D45" i="6"/>
  <c r="D58" i="6"/>
  <c r="D57" i="6"/>
  <c r="F56" i="6"/>
  <c r="H55" i="6"/>
  <c r="D62" i="6"/>
  <c r="D54" i="6"/>
  <c r="D59" i="6"/>
  <c r="D63" i="6"/>
  <c r="D60" i="6"/>
  <c r="D55" i="6"/>
  <c r="S21" i="5"/>
  <c r="S20" i="5"/>
  <c r="S9" i="5"/>
  <c r="S14" i="5"/>
  <c r="S13" i="5"/>
  <c r="S11" i="5"/>
  <c r="S19" i="5"/>
  <c r="G64" i="6" a="1"/>
  <c r="S15" i="5"/>
  <c r="S7" i="5"/>
  <c r="S17" i="5"/>
  <c r="C56" i="6" l="1"/>
  <c r="C12" i="6"/>
  <c r="C68" i="6"/>
  <c r="G66" i="6"/>
  <c r="H66" i="6" s="1"/>
  <c r="D66" i="6" s="1"/>
  <c r="G65" i="6"/>
  <c r="H65" i="6" s="1"/>
  <c r="D65" i="6" s="1"/>
  <c r="D49" i="4"/>
  <c r="G67" i="6"/>
  <c r="H67" i="6" s="1"/>
  <c r="D67" i="6" s="1"/>
  <c r="B50" i="4"/>
  <c r="A34" i="6" s="1"/>
  <c r="B56" i="4"/>
  <c r="A39" i="6" s="1"/>
  <c r="B62" i="4"/>
  <c r="A44" i="6" s="1"/>
  <c r="B32" i="4"/>
  <c r="A19" i="6" s="1"/>
  <c r="A25" i="6"/>
  <c r="D37" i="4"/>
  <c r="G69" i="6" a="1"/>
  <c r="G69" i="6" s="1"/>
  <c r="H69" i="6" s="1"/>
  <c r="B65" i="4"/>
  <c r="A47" i="6" s="1"/>
  <c r="G67" i="4"/>
  <c r="G49" i="4"/>
  <c r="G31" i="4"/>
  <c r="B71" i="4"/>
  <c r="A52" i="6" s="1"/>
  <c r="D74" i="4"/>
  <c r="D43" i="4"/>
  <c r="D55" i="4"/>
  <c r="X15" i="5"/>
  <c r="D67" i="4"/>
  <c r="D31" i="4"/>
  <c r="B35" i="4"/>
  <c r="A22" i="6" s="1"/>
  <c r="B53" i="4"/>
  <c r="A37" i="6" s="1"/>
  <c r="B59" i="4"/>
  <c r="A42" i="6" s="1"/>
  <c r="C30" i="6"/>
  <c r="B57" i="4"/>
  <c r="A40" i="6" s="1"/>
  <c r="G43" i="4"/>
  <c r="A15" i="6"/>
  <c r="B69" i="4"/>
  <c r="A50" i="6" s="1"/>
  <c r="G74" i="4"/>
  <c r="G55" i="4"/>
  <c r="G61" i="4"/>
  <c r="A16" i="6"/>
  <c r="B51" i="4"/>
  <c r="A35" i="6" s="1"/>
  <c r="G64" i="6"/>
  <c r="B68" i="4"/>
  <c r="A49" i="6" s="1"/>
  <c r="B58" i="4"/>
  <c r="A41" i="6" s="1"/>
  <c r="B52" i="4"/>
  <c r="A36" i="6" s="1"/>
  <c r="B70" i="4"/>
  <c r="A51" i="6" s="1"/>
  <c r="B64" i="4"/>
  <c r="A46" i="6" s="1"/>
  <c r="X12" i="5"/>
  <c r="T21" i="5"/>
  <c r="T20" i="5"/>
  <c r="S18" i="5"/>
  <c r="T14" i="5"/>
  <c r="S12" i="5"/>
  <c r="S5" i="5"/>
  <c r="S6" i="5"/>
  <c r="T7" i="5"/>
  <c r="T15" i="5"/>
  <c r="T11" i="5"/>
  <c r="T9" i="5"/>
  <c r="S8" i="5"/>
  <c r="T13" i="5"/>
  <c r="T19" i="5"/>
  <c r="S16" i="5"/>
  <c r="T17" i="5"/>
  <c r="S10" i="5"/>
  <c r="C67" i="6" l="1"/>
  <c r="C66" i="6"/>
  <c r="C65" i="6"/>
  <c r="B64" i="6"/>
  <c r="H64" i="6"/>
  <c r="T18" i="5"/>
  <c r="T5" i="5"/>
  <c r="T6" i="5"/>
  <c r="T8" i="5"/>
  <c r="T12" i="5"/>
  <c r="T16" i="5"/>
  <c r="T10" i="5"/>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<sst xmlns="http://schemas.openxmlformats.org/spreadsheetml/2006/main" count="22420" uniqueCount="15844">
  <si>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</si>
  <si>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</si>
  <si>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</si>
  <si>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</si>
  <si>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</si>
  <si>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</si>
  <si>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</si>
  <si>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</si>
  <si>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</si>
  <si>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</si>
  <si>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</si>
  <si>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</si>
  <si>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</si>
  <si>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</si>
  <si>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</si>
  <si>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</si>
  <si>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</si>
  <si>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</si>
  <si>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</si>
  <si>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</si>
  <si>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</si>
  <si>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</si>
  <si>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</si>
  <si>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</si>
  <si>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</si>
  <si>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</si>
  <si>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</si>
  <si>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</si>
  <si>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</si>
  <si>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</si>
  <si>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</si>
  <si>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</si>
  <si>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</si>
  <si>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</si>
  <si>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</si>
  <si>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</si>
  <si>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</si>
  <si>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</si>
  <si>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</si>
  <si>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</si>
  <si>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</si>
  <si>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</si>
  <si>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</si>
  <si>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</si>
  <si>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</si>
  <si>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</si>
  <si>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</si>
  <si>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</si>
  <si>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</si>
  <si>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</si>
  <si>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</si>
  <si>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</si>
  <si>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</si>
  <si>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</si>
  <si>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</si>
  <si>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</si>
  <si>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</si>
  <si>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</si>
  <si>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</si>
  <si>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</si>
  <si>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</si>
  <si>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</si>
  <si>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</si>
  <si>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</si>
  <si>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</si>
  <si>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</si>
  <si>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</si>
  <si>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</si>
  <si>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</si>
  <si>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</si>
  <si>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</si>
  <si>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</si>
  <si>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</si>
  <si>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</si>
  <si>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</si>
  <si>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</si>
  <si>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</si>
  <si>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</si>
  <si>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</si>
  <si>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</si>
  <si>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</si>
  <si>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</si>
  <si>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</si>
  <si>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</si>
  <si>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</si>
  <si>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</si>
  <si>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</si>
  <si>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</si>
  <si>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</si>
  <si>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</si>
  <si>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</si>
  <si>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</si>
  <si>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</si>
  <si>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</si>
  <si>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</si>
  <si>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</si>
  <si>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</si>
  <si>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</si>
  <si>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</si>
  <si>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</si>
  <si>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</si>
  <si>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</si>
  <si>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</si>
  <si>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</si>
  <si>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</si>
  <si>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</si>
  <si>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</si>
  <si>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</si>
  <si>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</si>
  <si>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</si>
  <si>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</si>
  <si>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</si>
  <si>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</si>
  <si>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</si>
  <si>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</si>
  <si>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</si>
  <si>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</si>
  <si>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</si>
  <si>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</si>
  <si>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</si>
  <si>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</si>
  <si>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</si>
  <si>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</si>
  <si>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</si>
  <si>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</si>
  <si>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</si>
  <si>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</si>
  <si>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</si>
  <si>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</si>
  <si>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</si>
  <si>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</si>
  <si>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</si>
  <si>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</si>
  <si>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</si>
  <si>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</si>
  <si>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</si>
  <si>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</si>
  <si>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</si>
  <si>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</si>
  <si>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</si>
  <si>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</si>
  <si>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</si>
  <si>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</si>
  <si>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</si>
  <si>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</si>
  <si>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</si>
  <si>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</si>
  <si>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</si>
  <si>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</si>
  <si>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</si>
  <si>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</si>
  <si>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</si>
  <si>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</si>
  <si>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</si>
  <si>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</si>
  <si>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</si>
  <si>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</si>
  <si>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</si>
  <si>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</si>
  <si>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</si>
  <si>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</si>
  <si>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</si>
  <si>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</si>
  <si>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</si>
  <si>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</si>
  <si>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</si>
  <si>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</si>
  <si>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</si>
  <si>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</si>
  <si>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</si>
  <si>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</si>
  <si>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</si>
  <si>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</si>
  <si>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</si>
  <si>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</si>
  <si>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</si>
  <si>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</si>
  <si>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</si>
  <si>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</si>
  <si>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</si>
  <si>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</si>
  <si>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</si>
  <si>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</si>
  <si>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</si>
  <si>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</si>
  <si>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</si>
  <si>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</si>
  <si>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</si>
  <si>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</si>
  <si>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</si>
  <si>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</si>
  <si>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</si>
  <si>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</si>
  <si>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</si>
  <si>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</si>
  <si>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</si>
  <si>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</si>
  <si>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</si>
  <si>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</si>
  <si>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</si>
  <si>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</si>
  <si>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</si>
  <si>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</si>
  <si>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</si>
  <si>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</si>
  <si>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</si>
  <si>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</si>
  <si>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</si>
  <si>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</si>
  <si>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</si>
  <si>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</si>
  <si>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</si>
  <si>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</si>
  <si>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</si>
  <si>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</si>
  <si>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</si>
  <si>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</si>
  <si>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</si>
  <si>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</si>
  <si>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</si>
  <si>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</si>
  <si>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</si>
  <si>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</si>
  <si>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</si>
  <si>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</si>
  <si>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</si>
  <si>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</si>
  <si>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</si>
  <si>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</si>
  <si>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</si>
  <si>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</si>
  <si>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</si>
  <si>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</si>
  <si>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</si>
  <si>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</si>
  <si>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</si>
  <si>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</si>
  <si>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</si>
  <si>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</si>
  <si>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</si>
  <si>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</si>
  <si>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</si>
  <si>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</si>
  <si>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</si>
  <si>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</si>
  <si>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</si>
  <si>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</si>
  <si>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</si>
  <si>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</si>
  <si>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</si>
  <si>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</si>
  <si>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</si>
  <si>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</si>
  <si>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</si>
  <si>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</si>
  <si>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</si>
  <si>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</si>
  <si>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</si>
  <si>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</si>
  <si>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</si>
  <si>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</si>
  <si>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</si>
  <si>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</si>
  <si>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</si>
  <si>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</si>
  <si>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</si>
  <si>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</si>
  <si>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</si>
  <si>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</si>
  <si>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</si>
  <si>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</si>
  <si>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</si>
  <si>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</si>
  <si>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</si>
  <si>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</si>
  <si>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</si>
  <si>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</si>
  <si>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</si>
  <si>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</si>
  <si>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</si>
  <si>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</si>
  <si>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</si>
  <si>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</si>
  <si>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</si>
  <si>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</si>
  <si>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</si>
  <si>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</si>
  <si>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</si>
  <si>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</si>
  <si>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</si>
  <si>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</si>
  <si>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</si>
  <si>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</si>
  <si>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</si>
  <si>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</si>
  <si>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</si>
  <si>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</si>
  <si>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</si>
  <si>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</si>
  <si>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</si>
  <si>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</si>
  <si>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</si>
  <si>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</si>
  <si>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</si>
  <si>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</si>
  <si>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</si>
  <si>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</si>
  <si>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</si>
  <si>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</si>
  <si>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</si>
  <si>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</si>
  <si>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</si>
  <si>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</si>
  <si>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</si>
  <si>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</si>
  <si>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</si>
  <si>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</si>
  <si>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</si>
  <si>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</si>
  <si>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</si>
  <si>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</si>
  <si>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</si>
  <si>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</si>
  <si>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</si>
  <si>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</si>
  <si>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</si>
  <si>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</si>
  <si>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</si>
  <si>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</si>
  <si>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</si>
  <si>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</si>
  <si>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</si>
  <si>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</si>
  <si>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</si>
  <si>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</si>
  <si>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</si>
  <si>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</si>
  <si>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</si>
  <si>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</si>
  <si>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</si>
  <si>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</si>
  <si>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</si>
  <si>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</si>
  <si>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</si>
  <si>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</si>
  <si>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</si>
  <si>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</si>
  <si>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</si>
  <si>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</si>
  <si>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</si>
  <si>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</si>
  <si>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</si>
  <si>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</si>
  <si>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</si>
  <si>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</si>
  <si>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</si>
  <si>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</si>
  <si>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</si>
  <si>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</si>
  <si>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</si>
  <si>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</si>
  <si>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</si>
  <si>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</si>
  <si>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</si>
  <si>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</si>
  <si>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</si>
  <si>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</si>
  <si>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</si>
  <si>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</si>
  <si>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</si>
  <si>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</si>
  <si>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</si>
  <si>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</si>
  <si>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</si>
  <si>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</si>
  <si>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</si>
  <si>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</si>
  <si>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</si>
  <si>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</si>
  <si>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</si>
  <si>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</si>
  <si>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</si>
  <si>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</si>
  <si>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</si>
  <si>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</si>
  <si>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</si>
  <si>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</si>
  <si>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</si>
  <si>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</si>
  <si>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</si>
  <si>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</si>
  <si>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</si>
  <si>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</si>
  <si>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</si>
  <si>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</si>
  <si>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</si>
  <si>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</si>
  <si>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</si>
  <si>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</si>
  <si>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</si>
  <si>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</si>
  <si>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</si>
  <si>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</si>
  <si>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</si>
  <si>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</si>
  <si>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</si>
  <si>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</si>
  <si>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</si>
  <si>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</si>
  <si>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</si>
  <si>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</si>
  <si>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</si>
  <si>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</si>
  <si>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</si>
  <si>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</si>
  <si>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</si>
  <si>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</si>
  <si>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</si>
  <si>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</si>
  <si>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</si>
  <si>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</si>
  <si>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</si>
  <si>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</si>
  <si>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</si>
  <si>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</si>
  <si>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</si>
  <si>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</si>
  <si>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</si>
  <si>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</si>
  <si>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</si>
  <si>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</si>
  <si>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</si>
  <si>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</si>
  <si>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</si>
  <si>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</si>
  <si>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</si>
  <si>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</si>
  <si>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</si>
  <si>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</si>
  <si>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</si>
  <si>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</si>
  <si>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</si>
  <si>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</si>
  <si>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</si>
  <si>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</si>
  <si>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</si>
  <si>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</si>
  <si>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</si>
  <si>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</si>
  <si>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</si>
  <si>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</si>
  <si>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</si>
  <si>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</si>
  <si>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</si>
  <si>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</si>
  <si>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</si>
  <si>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</si>
  <si>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</si>
  <si>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</si>
  <si>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</si>
  <si>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</si>
  <si>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</si>
  <si>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</si>
  <si>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</si>
  <si>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</si>
  <si>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</si>
  <si>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</si>
  <si>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</si>
  <si>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</si>
  <si>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</si>
  <si>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</si>
  <si>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</si>
  <si>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</si>
  <si>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</si>
  <si>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</si>
  <si>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</si>
  <si>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</si>
  <si>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</si>
  <si>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</si>
  <si>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</si>
  <si>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</si>
  <si>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</si>
  <si>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</si>
  <si>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</si>
  <si>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</si>
  <si>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</si>
  <si>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</si>
  <si>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</si>
  <si>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</si>
  <si>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</si>
  <si>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</si>
  <si>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</si>
  <si>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</si>
  <si>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</si>
  <si>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</si>
  <si>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</si>
  <si>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</si>
  <si>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</si>
  <si>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</si>
  <si>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</si>
  <si>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</si>
  <si>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</si>
  <si>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</si>
  <si>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</si>
  <si>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</si>
  <si>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</si>
  <si>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</si>
  <si>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</si>
  <si>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</si>
  <si>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</si>
  <si>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</si>
  <si>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</si>
  <si>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</si>
  <si>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</si>
  <si>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</si>
  <si>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</si>
  <si>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</si>
  <si>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</si>
  <si>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</si>
  <si>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</si>
  <si>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</si>
  <si>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</si>
  <si>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</si>
  <si>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</si>
  <si>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</si>
  <si>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</si>
  <si>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</si>
  <si>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</si>
  <si>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</si>
  <si>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</si>
  <si>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</si>
  <si>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</si>
  <si>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</si>
  <si>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</si>
  <si>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</si>
  <si>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</si>
  <si>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</si>
  <si>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</si>
  <si>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</si>
  <si>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</si>
  <si>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</si>
  <si>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</si>
  <si>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</si>
  <si>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</si>
  <si>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</si>
  <si>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</si>
  <si>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</si>
  <si>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</si>
  <si>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</si>
  <si>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</si>
  <si>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</si>
  <si>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</si>
  <si>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</si>
  <si>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</si>
  <si>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</si>
  <si>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</si>
  <si>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</si>
  <si>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</si>
  <si>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</si>
  <si>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</si>
  <si>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</si>
  <si>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</si>
  <si>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</si>
  <si>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</si>
  <si>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</si>
  <si>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</si>
  <si>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</si>
  <si>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</si>
  <si>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</si>
  <si>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</si>
  <si>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</si>
  <si>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</si>
  <si>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</si>
  <si>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</si>
  <si>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</si>
  <si>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</si>
  <si>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</si>
  <si>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</si>
  <si>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</si>
  <si>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</si>
  <si>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</si>
  <si>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</si>
  <si>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</si>
  <si>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</si>
  <si>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</si>
  <si>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</si>
  <si>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</si>
  <si>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</si>
  <si>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</si>
  <si>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</si>
  <si>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</si>
  <si>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</si>
  <si>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</si>
  <si>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</si>
  <si>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</si>
  <si>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</si>
  <si>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</si>
  <si>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</si>
  <si>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</si>
  <si>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</si>
  <si>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</si>
  <si>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</si>
  <si>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</si>
  <si>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</si>
  <si>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</si>
  <si>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</si>
  <si>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</si>
  <si>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</si>
  <si>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</si>
  <si>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</si>
  <si>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</si>
  <si>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</si>
  <si>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</si>
  <si>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</si>
  <si>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</si>
  <si>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</si>
  <si>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</si>
  <si>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</si>
  <si>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</si>
  <si>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</si>
  <si>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</si>
  <si>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</si>
  <si>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</si>
  <si>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</si>
  <si>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</si>
  <si>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</si>
  <si>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</si>
  <si>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</si>
  <si>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</si>
  <si>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</si>
  <si>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</si>
  <si>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</si>
  <si>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</si>
  <si>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</si>
  <si>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</si>
  <si>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</si>
  <si>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</si>
  <si>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</si>
  <si>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</si>
  <si>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</si>
  <si>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</si>
  <si>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</si>
  <si>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</si>
  <si>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</si>
  <si>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</si>
  <si>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</si>
  <si>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</si>
  <si>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</si>
  <si>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</si>
  <si>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</si>
  <si>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</si>
  <si>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</si>
  <si>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</si>
  <si>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</si>
  <si>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</si>
  <si>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</si>
  <si>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</si>
  <si>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</si>
  <si>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</si>
  <si>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</si>
  <si>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</si>
  <si>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</si>
  <si>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</si>
  <si>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</si>
  <si>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</si>
  <si>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</si>
  <si>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</si>
  <si>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</si>
  <si>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</si>
  <si>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</si>
  <si>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</si>
  <si>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</si>
  <si>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</si>
  <si>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</si>
  <si>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</si>
  <si>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</si>
  <si>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</si>
  <si>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</si>
  <si>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</si>
  <si>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</si>
  <si>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</si>
  <si>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</si>
  <si>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</si>
  <si>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</si>
  <si>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</si>
  <si>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</si>
  <si>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</si>
  <si>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</si>
  <si>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</si>
  <si>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</si>
  <si>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</si>
  <si>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</si>
  <si>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</si>
  <si>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</si>
  <si>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</si>
  <si>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</si>
  <si>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</si>
  <si>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</si>
  <si>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</si>
  <si>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</si>
  <si>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</si>
  <si>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</si>
  <si>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</si>
  <si>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</si>
  <si>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</si>
  <si>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</si>
  <si>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</si>
  <si>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</si>
  <si>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</si>
  <si>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</si>
  <si>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</si>
  <si>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</si>
  <si>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</si>
  <si>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</si>
  <si>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</si>
  <si>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</si>
  <si>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</si>
  <si>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</si>
  <si>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</si>
  <si>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</si>
  <si>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</si>
  <si>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</si>
  <si>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</si>
  <si>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</si>
  <si>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</si>
  <si>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</si>
  <si>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</si>
  <si>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</si>
  <si>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</si>
  <si>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</si>
  <si>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</si>
  <si>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</si>
  <si>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</si>
  <si>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</si>
  <si>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</si>
  <si>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</si>
  <si>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</si>
  <si>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</si>
  <si>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</si>
  <si>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</si>
  <si>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</si>
  <si>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</si>
  <si>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</si>
  <si>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</si>
  <si>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</si>
  <si>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</si>
  <si>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</si>
  <si>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</si>
  <si>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</si>
  <si>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</si>
  <si>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</si>
  <si>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</si>
  <si>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</si>
  <si>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</si>
  <si>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</si>
  <si>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</si>
  <si>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</si>
  <si>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</si>
  <si>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</si>
  <si>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</si>
  <si>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</si>
  <si>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</si>
  <si>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</si>
  <si>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</si>
  <si>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</si>
  <si>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</si>
  <si>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</si>
  <si>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</si>
  <si>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</si>
  <si>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</si>
  <si>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</si>
  <si>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</si>
  <si>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</si>
  <si>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</si>
  <si>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</si>
  <si>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</si>
  <si>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</si>
  <si>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</si>
  <si>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</si>
  <si>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</si>
  <si>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</si>
  <si>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</si>
  <si>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</si>
  <si>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</si>
  <si>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</si>
  <si>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</si>
  <si>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</si>
  <si>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</si>
  <si>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</si>
  <si>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</si>
  <si>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</si>
  <si>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</si>
  <si>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</si>
  <si>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</si>
  <si>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</si>
  <si>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</si>
  <si>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</si>
  <si>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</si>
  <si>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</si>
  <si>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</si>
  <si>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</si>
  <si>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</si>
  <si>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</si>
  <si>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</si>
  <si>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</si>
  <si>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</si>
  <si>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</si>
  <si>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</si>
  <si>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</si>
  <si>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</si>
  <si>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</si>
  <si>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</si>
  <si>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</si>
  <si>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</si>
  <si>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</si>
  <si>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</si>
  <si>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</si>
  <si>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</si>
  <si>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</si>
  <si>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</si>
  <si>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</si>
  <si>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</si>
  <si>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</si>
  <si>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</si>
  <si>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</si>
  <si>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</si>
  <si>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</si>
  <si>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</si>
  <si>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</si>
  <si>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</si>
  <si>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</si>
  <si>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</si>
  <si>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</si>
  <si>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</si>
  <si>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</si>
  <si>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</si>
  <si>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</si>
  <si>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</si>
  <si>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</si>
  <si>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</si>
  <si>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</si>
  <si>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</si>
  <si>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</si>
  <si>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</si>
  <si>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</si>
  <si>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</si>
  <si>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</si>
  <si>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</si>
  <si>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</si>
  <si>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</si>
  <si>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</si>
  <si>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</si>
  <si>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</si>
  <si>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</si>
  <si>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</si>
  <si>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</si>
  <si>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</si>
  <si>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</si>
  <si>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</si>
  <si>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</si>
  <si>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</si>
  <si>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</si>
  <si>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</si>
  <si>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</si>
  <si>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</si>
  <si>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</si>
  <si>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</si>
  <si>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</si>
  <si>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</si>
  <si>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</si>
  <si>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</si>
  <si>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</si>
  <si>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</si>
  <si>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</si>
  <si>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</si>
  <si>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</si>
  <si>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</si>
  <si>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</si>
  <si>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</si>
  <si>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</si>
  <si>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</si>
  <si>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</si>
  <si>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</si>
  <si>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</si>
  <si>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</si>
  <si>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</si>
  <si>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</si>
  <si>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</si>
  <si>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</si>
  <si>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</si>
  <si>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</si>
  <si>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</si>
  <si>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</si>
  <si>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</si>
  <si>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</si>
  <si>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</si>
  <si>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</si>
  <si>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</si>
  <si>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</si>
  <si>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</si>
  <si>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</si>
  <si>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</si>
  <si>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</si>
  <si>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</si>
  <si>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</si>
  <si>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</si>
  <si>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</si>
  <si>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</si>
  <si>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</si>
  <si>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</si>
  <si>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</si>
  <si>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</si>
  <si>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</si>
  <si>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</si>
  <si>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</si>
  <si>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</si>
  <si>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</si>
  <si>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</si>
  <si>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</si>
  <si>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</si>
  <si>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</si>
  <si>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</si>
  <si>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</si>
  <si>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</si>
  <si>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</si>
  <si>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</si>
  <si>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</si>
  <si>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</si>
  <si>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</si>
  <si>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</si>
  <si>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</si>
  <si>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</si>
  <si>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</si>
  <si>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</si>
  <si>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</si>
  <si>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</si>
  <si>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</si>
  <si>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</si>
  <si>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</si>
  <si>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</si>
  <si>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</si>
  <si>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</si>
  <si>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</si>
  <si>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</si>
  <si>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</si>
  <si>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</si>
  <si>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</si>
  <si>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</si>
  <si>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</si>
  <si>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</si>
  <si>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</si>
  <si>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</si>
  <si>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</si>
  <si>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</si>
  <si>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</si>
  <si>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</si>
  <si>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</si>
  <si>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</si>
  <si>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</si>
  <si>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</si>
  <si>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</si>
  <si>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</si>
  <si>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</si>
  <si>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</si>
  <si>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</si>
  <si>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</si>
  <si>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</si>
  <si>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</si>
  <si>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</si>
  <si>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</si>
  <si>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</si>
  <si>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</si>
  <si>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</si>
  <si>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</si>
  <si>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</si>
  <si>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</si>
  <si>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</si>
  <si>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</si>
  <si>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</si>
  <si>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</si>
  <si>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</si>
  <si>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</si>
  <si>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</si>
  <si>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</si>
  <si>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</si>
  <si>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</si>
  <si>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</si>
  <si>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</si>
  <si>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</si>
  <si>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</si>
  <si>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</si>
  <si>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</si>
  <si>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</si>
  <si>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</si>
  <si>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</si>
  <si>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</si>
  <si>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</si>
  <si>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</si>
  <si>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</si>
  <si>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</si>
  <si>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</si>
  <si>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</si>
  <si>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</si>
  <si>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</si>
  <si>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</si>
  <si>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</si>
  <si>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</si>
  <si>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</si>
  <si>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</si>
  <si>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</si>
  <si>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</si>
  <si>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</si>
  <si>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</si>
  <si>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</si>
  <si>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</si>
  <si>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</si>
  <si>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</si>
  <si>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</si>
  <si>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</si>
  <si>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</si>
  <si>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</si>
  <si>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</si>
  <si>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</si>
  <si>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</si>
  <si>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</si>
  <si>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</si>
  <si>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</si>
  <si>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</si>
  <si>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</si>
  <si>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</si>
  <si>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</si>
  <si>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</si>
  <si>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</si>
  <si>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</si>
  <si>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</si>
  <si>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</si>
  <si>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</si>
  <si>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</si>
  <si>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</si>
  <si>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</si>
  <si>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</si>
  <si>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</si>
  <si>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</si>
  <si>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</si>
  <si>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</si>
  <si>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</si>
  <si>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</si>
  <si>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</si>
  <si>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</si>
  <si>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</si>
  <si>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</si>
  <si>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</si>
  <si>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</si>
  <si>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</si>
  <si>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</si>
  <si>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</si>
  <si>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</si>
  <si>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</si>
  <si>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</si>
  <si>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</si>
  <si>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</si>
  <si>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</si>
  <si>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</si>
  <si>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</si>
  <si>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</si>
  <si>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</si>
  <si>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</si>
  <si>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</si>
  <si>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</si>
  <si>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</si>
  <si>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</si>
  <si>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</si>
  <si>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</si>
  <si>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</si>
  <si>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</si>
  <si>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</si>
  <si>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</si>
  <si>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</si>
  <si>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</si>
  <si>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</si>
  <si>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</si>
  <si>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</si>
  <si>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</si>
  <si>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</si>
  <si>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</si>
  <si>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</si>
  <si>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</si>
  <si>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</si>
  <si>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</si>
  <si>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</si>
  <si>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</si>
  <si>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</si>
  <si>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</si>
  <si>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</si>
  <si>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</si>
  <si>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</si>
  <si>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</si>
  <si>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</si>
  <si>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</si>
  <si>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</si>
  <si>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</si>
  <si>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</si>
  <si>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</si>
  <si>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</si>
  <si>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</si>
  <si>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</si>
  <si>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</si>
  <si>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</si>
  <si>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</si>
  <si>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</si>
  <si>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</si>
  <si>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</si>
  <si>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</si>
  <si>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</si>
  <si>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</si>
  <si>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</si>
  <si>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</si>
  <si>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</si>
  <si>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</si>
  <si>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</si>
  <si>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</si>
  <si>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</si>
  <si>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</si>
  <si>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</si>
  <si>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</si>
  <si>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</si>
  <si>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</si>
  <si>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</si>
  <si>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</si>
  <si>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</si>
  <si>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</si>
  <si>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</si>
  <si>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</si>
  <si>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</si>
  <si>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</si>
  <si>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</si>
  <si>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</si>
  <si>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</si>
  <si>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</si>
  <si>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</si>
  <si>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</si>
  <si>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</si>
  <si>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</si>
  <si>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</si>
  <si>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</si>
  <si>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</si>
  <si>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</si>
  <si>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</si>
  <si>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</si>
  <si>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</si>
  <si>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</si>
  <si>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</si>
  <si>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</si>
  <si>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</si>
  <si>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</si>
  <si>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</si>
  <si>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</si>
  <si>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</si>
  <si>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</si>
  <si>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</si>
  <si>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</si>
  <si>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</si>
  <si>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</si>
  <si>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</si>
  <si>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</si>
  <si>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</si>
  <si>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</si>
  <si>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</si>
  <si>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</si>
  <si>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</si>
  <si>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</si>
  <si>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</si>
  <si>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</si>
  <si>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</si>
  <si>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</si>
  <si>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</si>
  <si>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</si>
  <si>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</si>
  <si>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</si>
  <si>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</si>
  <si>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</si>
  <si>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</si>
  <si>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</si>
  <si>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</si>
  <si>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</si>
  <si>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</si>
  <si>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</si>
  <si>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</si>
  <si>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</si>
  <si>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</si>
  <si>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</si>
  <si>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</si>
  <si>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</si>
  <si>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</si>
  <si>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</si>
  <si>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</si>
  <si>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</si>
  <si>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</si>
  <si>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</si>
  <si>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</si>
  <si>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</si>
  <si>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</si>
  <si>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</si>
  <si>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</si>
  <si>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</si>
  <si>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</si>
  <si>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</si>
  <si>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</si>
  <si>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</si>
  <si>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</si>
  <si>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</si>
  <si>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</si>
  <si>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</si>
  <si>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</si>
  <si>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</si>
  <si>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</si>
  <si>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</si>
  <si>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</si>
  <si>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</si>
  <si>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</si>
  <si>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</si>
  <si>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</si>
  <si>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</si>
  <si>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</si>
  <si>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</si>
  <si>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</si>
  <si>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</si>
  <si>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</si>
  <si>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</si>
  <si>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</si>
  <si>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</si>
  <si>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</si>
  <si>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</si>
  <si>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</si>
  <si>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</si>
  <si>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</si>
  <si>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</si>
  <si>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</si>
  <si>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</si>
  <si>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</si>
  <si>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</si>
  <si>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</si>
  <si>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</si>
  <si>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</si>
  <si>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</si>
  <si>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</si>
  <si>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</si>
  <si>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</si>
  <si>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</si>
  <si>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</si>
  <si>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</si>
  <si>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</si>
  <si>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</si>
  <si>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</si>
  <si>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</si>
  <si>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</si>
  <si>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</si>
  <si>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</si>
  <si>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</si>
  <si>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</si>
  <si>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</si>
  <si>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</si>
  <si>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</si>
  <si>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</si>
  <si>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</si>
  <si>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</si>
  <si>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</si>
  <si>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</si>
  <si>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</si>
  <si>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</si>
  <si>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</si>
  <si>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</si>
  <si>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</si>
  <si>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</si>
  <si>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</si>
  <si>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</si>
  <si>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</si>
  <si>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</si>
  <si>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</si>
  <si>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</si>
  <si>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</si>
  <si>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</si>
  <si>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</si>
  <si>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</si>
  <si>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</si>
  <si>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</si>
  <si>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</si>
  <si>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</si>
  <si>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</si>
  <si>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</si>
  <si>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</si>
  <si>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</si>
  <si>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</si>
  <si>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</si>
  <si>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</si>
  <si>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</si>
  <si>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</si>
  <si>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</si>
  <si>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</si>
  <si>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</si>
  <si>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</si>
  <si>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</si>
  <si>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</si>
  <si>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</si>
  <si>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</si>
  <si>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</si>
  <si>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</si>
  <si>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</si>
  <si>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</si>
  <si>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</si>
  <si>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</si>
  <si>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</si>
  <si>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</si>
  <si>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</si>
  <si>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</si>
  <si>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</si>
  <si>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</si>
  <si>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</si>
  <si>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</si>
  <si>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</si>
  <si>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</si>
  <si>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</si>
  <si>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</si>
  <si>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</si>
  <si>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</si>
  <si>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</si>
  <si>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</si>
  <si>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</si>
  <si>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</si>
  <si>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</si>
  <si>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</si>
  <si>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</si>
  <si>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</si>
  <si>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</si>
  <si>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</si>
  <si>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</si>
  <si>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</si>
  <si>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</si>
  <si>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</si>
  <si>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</si>
  <si>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</si>
  <si>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</si>
  <si>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</si>
  <si>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</si>
  <si>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</si>
  <si>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</si>
  <si>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</si>
  <si>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</si>
  <si>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</si>
  <si>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</si>
  <si>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</si>
  <si>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</si>
  <si>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</si>
  <si>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</si>
  <si>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</si>
  <si>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</si>
  <si>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</si>
  <si>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</si>
  <si>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</si>
  <si>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</si>
  <si>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</si>
  <si>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</si>
  <si>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</si>
  <si>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</si>
  <si>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</si>
  <si>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</si>
  <si>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</si>
  <si>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</si>
  <si>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</si>
  <si>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</si>
  <si>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</si>
  <si>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</si>
  <si>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</si>
  <si>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</si>
  <si>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</si>
  <si>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</si>
  <si>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</si>
  <si>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</si>
  <si>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</si>
  <si>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</si>
  <si>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</si>
  <si>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</si>
  <si>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</si>
  <si>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</si>
  <si>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</si>
  <si>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</si>
  <si>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</si>
  <si>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</si>
  <si>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</si>
  <si>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</si>
  <si>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</si>
  <si>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</si>
  <si>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</si>
  <si>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</si>
  <si>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</si>
  <si>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</si>
  <si>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</si>
  <si>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</si>
  <si>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</si>
  <si>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</si>
  <si>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</si>
  <si>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</si>
  <si>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</si>
  <si>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</si>
  <si>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</si>
  <si>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</si>
  <si>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</si>
  <si>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</si>
  <si>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</si>
  <si>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</si>
  <si>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</si>
  <si>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</si>
  <si>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</si>
  <si>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</si>
  <si>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</si>
  <si>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</si>
  <si>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</si>
  <si>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</si>
  <si>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</si>
  <si>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</si>
  <si>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</si>
  <si>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</si>
  <si>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</si>
  <si>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</si>
  <si>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</si>
  <si>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</si>
  <si>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</si>
  <si>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</si>
  <si>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</si>
  <si>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</si>
  <si>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</si>
  <si>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</si>
  <si>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</si>
  <si>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</si>
  <si>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</si>
  <si>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</si>
  <si>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</si>
  <si>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</si>
  <si>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</si>
  <si>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</si>
  <si>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</si>
  <si>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</si>
  <si>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</si>
  <si>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</si>
  <si>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</si>
  <si>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</si>
  <si>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</si>
  <si>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</si>
  <si>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</si>
  <si>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</si>
  <si>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</si>
  <si>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</si>
  <si>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</si>
  <si>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</si>
  <si>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</si>
  <si>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</si>
  <si>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</si>
  <si>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</si>
  <si>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</si>
  <si>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</si>
  <si>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</si>
  <si>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</si>
  <si>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</si>
  <si>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</si>
  <si>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</si>
  <si>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</si>
  <si>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</si>
  <si>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</si>
  <si>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</si>
  <si>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</si>
  <si>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</si>
  <si>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</si>
  <si>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</si>
  <si>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</si>
  <si>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</si>
  <si>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</si>
  <si>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</si>
  <si>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</si>
  <si>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</si>
  <si>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</si>
  <si>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</si>
  <si>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</si>
  <si>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</si>
  <si>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</si>
  <si>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</si>
  <si>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</si>
  <si>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</si>
  <si>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</si>
  <si>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</si>
  <si>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</si>
  <si>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</si>
  <si>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</si>
  <si>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</si>
  <si>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</si>
  <si>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</si>
  <si>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</si>
  <si>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</si>
  <si>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</si>
  <si>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</si>
  <si>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</si>
  <si>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</si>
  <si>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</si>
  <si>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</si>
  <si>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</si>
  <si>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</si>
  <si>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</si>
  <si>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</si>
  <si>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</si>
  <si>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</si>
  <si>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</si>
  <si>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</si>
  <si>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</si>
  <si>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</si>
  <si>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</si>
  <si>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</si>
  <si>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</si>
  <si>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</si>
  <si>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</si>
  <si>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</si>
  <si>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</si>
  <si>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</si>
  <si>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</si>
  <si>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</si>
  <si>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</si>
  <si>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</si>
  <si>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</si>
  <si>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</si>
  <si>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</si>
  <si>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</si>
  <si>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</si>
  <si>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</si>
  <si>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</si>
  <si>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</si>
  <si>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</si>
  <si>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</si>
  <si>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</si>
  <si>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</si>
  <si>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</si>
  <si>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</si>
  <si>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</si>
  <si>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</si>
  <si>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</si>
  <si>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</si>
  <si>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</si>
  <si>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</si>
  <si>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</si>
  <si>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</si>
  <si>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</si>
  <si>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</si>
  <si>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</si>
  <si>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</si>
  <si>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</si>
  <si>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</si>
  <si>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</si>
  <si>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</si>
  <si>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</si>
  <si>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</si>
  <si>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</si>
  <si>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</si>
  <si>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</si>
  <si>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</si>
  <si>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</si>
  <si>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</si>
  <si>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</si>
  <si>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</si>
  <si>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</si>
  <si>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</si>
  <si>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</si>
  <si>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</si>
  <si>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</si>
  <si>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</si>
  <si>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</si>
  <si>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</si>
  <si>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</si>
  <si>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</si>
  <si>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</si>
  <si>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</si>
  <si>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</si>
  <si>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</si>
  <si>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</si>
  <si>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</si>
  <si>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</si>
  <si>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</si>
  <si>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</si>
  <si>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</si>
  <si>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</si>
  <si>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</si>
  <si>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</si>
  <si>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</si>
  <si>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</si>
  <si>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</si>
  <si>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</si>
  <si>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</si>
  <si>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</si>
  <si>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</si>
  <si>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</si>
  <si>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</si>
  <si>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</si>
  <si>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</si>
  <si>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</si>
  <si>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</si>
  <si>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</si>
  <si>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</si>
  <si>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</si>
  <si>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</si>
  <si>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</si>
  <si>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</si>
  <si>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</si>
  <si>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</si>
  <si>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</si>
  <si>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</si>
  <si>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</si>
  <si>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</si>
  <si>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</si>
  <si>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</si>
  <si>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</si>
  <si>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</si>
  <si>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</si>
  <si>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</si>
  <si>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</si>
  <si>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</si>
  <si>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</si>
  <si>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</si>
  <si>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</si>
  <si>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</si>
  <si>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</si>
  <si>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</si>
  <si>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</si>
  <si>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</si>
  <si>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</si>
  <si>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</si>
  <si>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</si>
  <si>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</si>
  <si>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</si>
  <si>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</si>
  <si>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</si>
  <si>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</si>
  <si>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</si>
  <si>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</si>
  <si>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</si>
  <si>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</si>
  <si>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</si>
  <si>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</si>
  <si>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</si>
  <si>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</si>
  <si>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</si>
  <si>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</si>
  <si>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</si>
  <si>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</si>
  <si>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</si>
  <si>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</si>
  <si>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</si>
  <si>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</si>
  <si>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</si>
  <si>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</si>
  <si>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</si>
  <si>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</si>
  <si>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</si>
  <si>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</si>
  <si>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</si>
  <si>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</si>
  <si>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</si>
  <si>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</si>
  <si>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</si>
  <si>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</si>
  <si>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</si>
  <si>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</si>
  <si>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</si>
  <si>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</si>
  <si>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</si>
  <si>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</si>
  <si>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</si>
  <si>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</si>
  <si>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</si>
  <si>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</si>
  <si>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</si>
  <si>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</si>
  <si>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</si>
  <si>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</si>
  <si>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</si>
  <si>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</si>
  <si>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</si>
  <si>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</si>
  <si>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</si>
  <si>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</si>
  <si>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</si>
  <si>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</si>
  <si>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</si>
  <si>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</si>
  <si>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</si>
  <si>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</si>
  <si>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</si>
  <si>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</si>
  <si>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</si>
  <si>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</si>
  <si>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</si>
  <si>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</si>
  <si>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</si>
  <si>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</si>
  <si>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</si>
  <si>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</si>
  <si>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</si>
  <si>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</si>
  <si>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</si>
  <si>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</si>
  <si>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</si>
  <si>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</si>
  <si>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</si>
  <si>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</si>
  <si>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</si>
  <si>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</si>
  <si>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</si>
  <si>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</si>
  <si>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</si>
  <si>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</si>
  <si>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</si>
  <si>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</si>
  <si>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</si>
  <si>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</si>
  <si>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</si>
  <si>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</si>
  <si>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</si>
  <si>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</si>
  <si>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</si>
  <si>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</si>
  <si>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</si>
  <si>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</si>
  <si>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</si>
  <si>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</si>
  <si>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</si>
  <si>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</si>
  <si>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</si>
  <si>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</si>
  <si>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</si>
  <si>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</si>
  <si>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</si>
  <si>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</si>
  <si>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</si>
  <si>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</si>
  <si>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</si>
  <si>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</si>
  <si>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</si>
  <si>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</si>
  <si>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</si>
  <si>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</si>
  <si>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</si>
  <si>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</si>
  <si>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</si>
  <si>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</si>
  <si>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</si>
  <si>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</si>
  <si>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</si>
  <si>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</si>
  <si>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</si>
  <si>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</si>
  <si>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</si>
  <si>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</si>
  <si>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</si>
  <si>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</si>
  <si>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</si>
  <si>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</si>
  <si>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</si>
  <si>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</si>
  <si>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</si>
  <si>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</si>
  <si>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</si>
  <si>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</si>
  <si>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</si>
  <si>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</si>
  <si>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</si>
  <si>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</si>
  <si>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</si>
  <si>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</si>
  <si>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</si>
  <si>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</si>
  <si>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</si>
  <si>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</si>
  <si>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</si>
  <si>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</si>
  <si>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</si>
  <si>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</si>
  <si>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</si>
  <si>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</si>
  <si>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</si>
  <si>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</si>
  <si>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</si>
  <si>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</si>
  <si>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</si>
  <si>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</si>
  <si>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</si>
  <si>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</si>
  <si>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</si>
  <si>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</si>
  <si>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</si>
  <si>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</si>
  <si>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</si>
  <si>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</si>
  <si>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</si>
  <si>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</si>
  <si>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</si>
  <si>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</si>
  <si>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</si>
  <si>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</si>
  <si>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</si>
  <si>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</si>
  <si>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</si>
  <si>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</si>
  <si>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</si>
  <si>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</si>
  <si>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</si>
  <si>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</si>
  <si>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</si>
  <si>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</si>
  <si>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</si>
  <si>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</si>
  <si>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</si>
  <si>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</si>
  <si>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</si>
  <si>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</si>
  <si>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</si>
  <si>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</si>
  <si>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</si>
  <si>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</si>
  <si>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</si>
  <si>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</si>
  <si>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</si>
  <si>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</si>
  <si>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</si>
  <si>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</si>
  <si>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</si>
  <si>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</si>
  <si>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</si>
  <si>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</si>
  <si>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</si>
  <si>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</si>
  <si>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</si>
  <si>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</si>
  <si>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</si>
  <si>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</si>
  <si>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</si>
  <si>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</si>
  <si>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</si>
  <si>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</si>
  <si>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</si>
  <si>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</si>
  <si>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</si>
  <si>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</si>
  <si>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</si>
  <si>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</si>
  <si>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</si>
  <si>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</si>
  <si>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</si>
  <si>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</si>
  <si>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</si>
  <si>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</si>
  <si>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</si>
  <si>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</si>
  <si>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</si>
  <si>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</si>
  <si>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</si>
  <si>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</si>
  <si>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</si>
  <si>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</si>
  <si>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</si>
  <si>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</si>
  <si>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</si>
  <si>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</si>
  <si>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</si>
  <si>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</si>
  <si>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</si>
  <si>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</si>
  <si>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</si>
  <si>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</si>
  <si>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</si>
  <si>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</si>
  <si>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</si>
  <si>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</si>
  <si>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</si>
  <si>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</si>
  <si>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</si>
  <si>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</si>
  <si>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</si>
  <si>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</si>
  <si>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</si>
  <si>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</si>
  <si>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</si>
  <si>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</si>
  <si>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</si>
  <si>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</si>
  <si>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</si>
  <si>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</si>
  <si>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</si>
  <si>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</si>
  <si>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</si>
  <si>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</si>
  <si>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</si>
  <si>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</si>
  <si>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</si>
  <si>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</si>
  <si>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</si>
  <si>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</si>
  <si>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</si>
  <si>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</si>
  <si>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</si>
  <si>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</si>
  <si>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</si>
  <si>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</si>
  <si>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</si>
  <si>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</si>
  <si>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</si>
  <si>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</si>
  <si>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</si>
  <si>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</si>
  <si>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</si>
  <si>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</si>
  <si>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</si>
  <si>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</si>
  <si>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</si>
  <si>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</si>
  <si>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</si>
  <si>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</si>
  <si>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</si>
  <si>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</si>
  <si>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</si>
  <si>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</si>
  <si>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</si>
  <si>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</si>
  <si>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</si>
  <si>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</si>
  <si>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</si>
  <si>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</si>
  <si>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</si>
  <si>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</si>
  <si>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</si>
  <si>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</si>
  <si>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</si>
  <si>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</si>
  <si>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</si>
  <si>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</si>
  <si>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</si>
  <si>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</si>
  <si>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</si>
  <si>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</si>
  <si>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</si>
  <si>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</si>
  <si>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</si>
  <si>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</si>
  <si>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</si>
  <si>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</si>
  <si>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</si>
  <si>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</si>
  <si>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</si>
  <si>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</si>
  <si>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</si>
  <si>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</si>
  <si>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</si>
  <si>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</si>
  <si>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</si>
  <si>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</si>
  <si>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</si>
  <si>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</si>
  <si>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</si>
  <si>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</si>
  <si>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</si>
  <si>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</si>
  <si>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</si>
  <si>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</si>
  <si>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</si>
  <si>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</si>
  <si>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</si>
  <si>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</si>
  <si>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</si>
  <si>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</si>
  <si>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</si>
  <si>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</si>
  <si>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</si>
  <si>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</si>
  <si>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</si>
  <si>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</si>
  <si>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</si>
  <si>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</si>
  <si>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</si>
  <si>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</si>
  <si>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</si>
  <si>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</si>
  <si>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</si>
  <si>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</si>
  <si>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</si>
  <si>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</si>
  <si>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</si>
  <si>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</si>
  <si>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</si>
  <si>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</si>
  <si>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</si>
  <si>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</si>
  <si>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</si>
  <si>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</si>
  <si>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</si>
  <si>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</si>
  <si>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</si>
  <si>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</si>
  <si>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</si>
  <si>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</si>
  <si>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</si>
  <si>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</si>
  <si>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</si>
  <si>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</si>
  <si>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</si>
  <si>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</si>
  <si>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</si>
  <si>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</si>
  <si>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</si>
  <si>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</si>
  <si>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</si>
  <si>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</si>
  <si>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</si>
  <si>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</si>
  <si>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</si>
  <si>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</si>
  <si>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</si>
  <si>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</si>
  <si>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</si>
  <si>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</si>
  <si>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</si>
  <si>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</si>
  <si>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</si>
  <si>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</si>
  <si>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</si>
  <si>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</si>
  <si>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</si>
  <si>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</si>
  <si>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</si>
  <si>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</si>
  <si>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</si>
  <si>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</si>
  <si>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</si>
  <si>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</si>
  <si>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</si>
  <si>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</si>
  <si>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</si>
  <si>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</si>
  <si>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</si>
  <si>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</si>
  <si>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</si>
  <si>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</si>
  <si>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</si>
  <si>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</si>
  <si>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</si>
  <si>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</si>
  <si>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</si>
  <si>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</si>
  <si>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</si>
  <si>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</si>
  <si>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</si>
  <si>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</si>
  <si>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</si>
  <si>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</si>
  <si>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</si>
  <si>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</si>
  <si>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</si>
  <si>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</si>
  <si>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</si>
  <si>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</si>
  <si>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</si>
  <si>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</si>
  <si>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</si>
  <si>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</si>
  <si>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</si>
  <si>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</si>
  <si>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</si>
  <si>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</si>
  <si>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</si>
  <si>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</si>
  <si>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</si>
  <si>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</si>
  <si>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</si>
  <si>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</si>
  <si>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</si>
  <si>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</si>
  <si>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</si>
  <si>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</si>
  <si>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</si>
  <si>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</si>
  <si>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</si>
  <si>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</si>
  <si>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</si>
  <si>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</si>
  <si>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</si>
  <si>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</si>
  <si>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</si>
  <si>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</si>
  <si>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</si>
  <si>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</si>
  <si>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</si>
  <si>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</si>
  <si>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</si>
  <si>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</si>
  <si>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</si>
  <si>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</si>
  <si>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</si>
  <si>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</si>
  <si>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</si>
  <si>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</si>
  <si>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</si>
  <si>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</si>
  <si>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</si>
  <si>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</si>
  <si>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</si>
  <si>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</si>
  <si>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</si>
  <si>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</si>
  <si>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</si>
  <si>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</si>
  <si>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</si>
  <si>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</si>
  <si>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</si>
  <si>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</si>
  <si>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</si>
  <si>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</si>
  <si>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</si>
  <si>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</si>
  <si>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</si>
  <si>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</si>
  <si>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</si>
  <si>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</si>
  <si>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</si>
  <si>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</si>
  <si>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</si>
  <si>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</si>
  <si>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</si>
  <si>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</si>
  <si>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</si>
  <si>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</si>
  <si>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</si>
  <si>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</si>
  <si>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</si>
  <si>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</si>
  <si>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</si>
  <si>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</si>
  <si>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</si>
  <si>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</si>
  <si>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</si>
  <si>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</si>
  <si>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</si>
  <si>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</si>
  <si>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</si>
  <si>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</si>
  <si>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</si>
  <si>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</si>
  <si>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</si>
  <si>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</si>
  <si>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</si>
  <si>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</si>
  <si>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</si>
  <si>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</si>
  <si>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</si>
  <si>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</si>
  <si>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</si>
  <si>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</si>
  <si>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</si>
  <si>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</si>
  <si>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</si>
  <si>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</si>
  <si>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</si>
  <si>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</si>
  <si>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</si>
  <si>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</si>
  <si>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</si>
  <si>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</si>
  <si>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</si>
  <si>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</si>
  <si>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</si>
  <si>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</si>
  <si>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</si>
  <si>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</si>
  <si>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</si>
  <si>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</si>
  <si>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</si>
  <si>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</si>
  <si>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</si>
  <si>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</si>
  <si>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</si>
  <si>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</si>
  <si>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</si>
  <si>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</si>
  <si>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</si>
  <si>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</si>
  <si>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</si>
  <si>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</si>
  <si>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</si>
  <si>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</si>
  <si>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</si>
  <si>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</si>
  <si>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</si>
  <si>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</si>
  <si>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</si>
  <si>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</si>
  <si>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</si>
  <si>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</si>
  <si>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</si>
  <si>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</si>
  <si>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</si>
  <si>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</si>
  <si>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</si>
  <si>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</si>
  <si>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</si>
  <si>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</si>
  <si>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</si>
  <si>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</si>
  <si>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</si>
  <si>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</si>
  <si>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</si>
  <si>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</si>
  <si>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</si>
  <si>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</si>
  <si>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</si>
  <si>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</si>
  <si>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</si>
  <si>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</si>
  <si>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</si>
  <si>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</si>
  <si>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</si>
  <si>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</si>
  <si>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</si>
  <si>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</si>
  <si>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</si>
  <si>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</si>
  <si>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</si>
  <si>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</si>
  <si>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</si>
  <si>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</si>
  <si>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</si>
  <si>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</si>
  <si>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</si>
  <si>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</si>
  <si>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</si>
  <si>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</si>
  <si>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</si>
  <si>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</si>
  <si>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</si>
  <si>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</si>
  <si>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</si>
  <si>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</si>
  <si>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</si>
  <si>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</si>
  <si>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</si>
  <si>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</si>
  <si>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</si>
  <si>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</si>
  <si>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</si>
  <si>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</si>
  <si>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</si>
  <si>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</si>
  <si>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</si>
  <si>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</si>
  <si>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</si>
  <si>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</si>
  <si>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</si>
  <si>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</si>
  <si>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</si>
  <si>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</si>
  <si>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</si>
  <si>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</si>
  <si>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</si>
  <si>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</si>
  <si>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</si>
  <si>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</si>
  <si>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</si>
  <si>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</si>
  <si>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</si>
  <si>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</si>
  <si>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</si>
  <si>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</si>
  <si>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</si>
  <si>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</si>
  <si>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</si>
  <si>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</si>
  <si>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</si>
  <si>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</si>
  <si>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</si>
  <si>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</si>
  <si>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</si>
  <si>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</si>
  <si>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</si>
  <si>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</si>
  <si>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</si>
  <si>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</si>
  <si>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</si>
  <si>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</si>
  <si>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</si>
  <si>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</si>
  <si>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</si>
  <si>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</si>
  <si>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</si>
  <si>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</si>
  <si>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</si>
  <si>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</si>
  <si>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</si>
  <si>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</si>
  <si>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</si>
  <si>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</si>
  <si>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</si>
  <si>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</si>
  <si>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</si>
  <si>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</si>
  <si>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</si>
  <si>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</si>
  <si>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</si>
  <si>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</si>
  <si>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</si>
  <si>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</si>
  <si>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</si>
  <si>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</si>
  <si>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</si>
  <si>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</si>
  <si>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</si>
  <si>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</si>
  <si>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</si>
  <si>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</si>
  <si>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</si>
  <si>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</si>
  <si>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</si>
  <si>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</si>
  <si>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</si>
  <si>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</si>
  <si>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</si>
  <si>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</si>
  <si>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</si>
  <si>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</si>
  <si>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</si>
  <si>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</si>
  <si>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</si>
  <si>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</si>
  <si>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</si>
  <si>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</si>
  <si>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</si>
  <si>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</si>
  <si>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</si>
  <si>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</si>
  <si>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</si>
  <si>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</si>
  <si>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</si>
  <si>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</si>
  <si>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</si>
  <si>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</si>
  <si>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</si>
  <si>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</si>
  <si>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</si>
  <si>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</si>
  <si>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</si>
  <si>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</si>
  <si>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</si>
  <si>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</si>
  <si>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</si>
  <si>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</si>
  <si>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</si>
  <si>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</si>
  <si>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</si>
  <si>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</si>
  <si>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</si>
  <si>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</si>
  <si>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</si>
  <si>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</si>
  <si>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</si>
  <si>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</si>
  <si>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</si>
  <si>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</si>
  <si>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</si>
  <si>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</si>
  <si>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</si>
  <si>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</si>
  <si>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</si>
  <si>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</si>
  <si>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</si>
  <si>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</si>
  <si>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</si>
  <si>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</si>
  <si>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</si>
  <si>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</si>
  <si>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</si>
  <si>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</si>
  <si>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</si>
  <si>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</si>
  <si>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</si>
  <si>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</si>
  <si>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</si>
  <si>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</si>
  <si>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</si>
  <si>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</si>
  <si>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</si>
  <si>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</si>
  <si>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</si>
  <si>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</si>
  <si>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</si>
  <si>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</si>
  <si>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</si>
  <si>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</si>
  <si>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</si>
  <si>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</si>
  <si>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</si>
  <si>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</si>
  <si>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</si>
  <si>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</si>
  <si>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</si>
  <si>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</si>
  <si>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</si>
  <si>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</si>
  <si>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</si>
  <si>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</si>
  <si>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</si>
  <si>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</si>
  <si>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</si>
  <si>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</si>
  <si>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</si>
  <si>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</si>
  <si>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</si>
  <si>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</si>
  <si>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</si>
  <si>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</si>
  <si>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</si>
  <si>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</si>
  <si>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</si>
  <si>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</si>
  <si>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</si>
  <si>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</si>
  <si>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</si>
  <si>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</si>
  <si>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</si>
  <si>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</si>
  <si>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</si>
  <si>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</si>
  <si>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</si>
  <si>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</si>
  <si>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</si>
  <si>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</si>
  <si>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</si>
  <si>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</si>
  <si>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</si>
  <si>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</si>
  <si>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</si>
  <si>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</si>
  <si>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</si>
  <si>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</si>
  <si>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</si>
  <si>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</si>
  <si>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</si>
  <si>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</si>
  <si>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</si>
  <si>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</si>
  <si>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</si>
  <si>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</si>
  <si>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</si>
  <si>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</si>
  <si>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</si>
  <si>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</si>
  <si>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</si>
  <si>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</si>
  <si>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</si>
  <si>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</si>
  <si>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</si>
  <si>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</si>
  <si>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</si>
  <si>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</si>
  <si>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</si>
  <si>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</si>
  <si>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</si>
  <si>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</si>
  <si>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</si>
  <si>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</si>
  <si>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</si>
  <si>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</si>
  <si>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</si>
  <si>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</si>
  <si>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</si>
  <si>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</si>
  <si>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</si>
  <si>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</si>
  <si>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</si>
  <si>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</si>
  <si>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</si>
  <si>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</si>
  <si>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</si>
  <si>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</si>
  <si>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</si>
  <si>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</si>
  <si>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</si>
  <si>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</si>
  <si>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</si>
  <si>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</si>
  <si>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</si>
  <si>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</si>
  <si>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</si>
  <si>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</si>
  <si>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</si>
  <si>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</si>
  <si>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</si>
  <si>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</si>
  <si>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</si>
  <si>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</si>
  <si>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</si>
  <si>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</si>
  <si>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</si>
  <si>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</si>
  <si>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</si>
  <si>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</si>
  <si>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</si>
  <si>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</si>
  <si>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</si>
  <si>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</si>
  <si>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</si>
  <si>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</si>
  <si>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</si>
  <si>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</si>
  <si>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</si>
  <si>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</si>
  <si>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</si>
  <si>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</si>
  <si>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</si>
  <si>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</si>
  <si>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</si>
  <si>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</si>
  <si>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</si>
  <si>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</si>
  <si>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</si>
  <si>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</si>
  <si>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</si>
  <si>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</si>
  <si>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</si>
  <si>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</si>
  <si>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</si>
  <si>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</si>
  <si>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</si>
  <si>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</si>
  <si>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</si>
  <si>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</si>
  <si>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</si>
  <si>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</si>
  <si>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</si>
  <si>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</si>
  <si>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</si>
  <si>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</si>
  <si>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</si>
  <si>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</si>
  <si>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</si>
  <si>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</si>
  <si>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</si>
  <si>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</si>
  <si>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</si>
  <si>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</si>
  <si>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</si>
  <si>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</si>
  <si>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</si>
  <si>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</si>
  <si>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</si>
  <si>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</si>
  <si>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</si>
  <si>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</si>
  <si>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</si>
  <si>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</si>
  <si>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</si>
  <si>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</si>
  <si>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</si>
  <si>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</si>
  <si>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</si>
  <si>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</si>
  <si>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</si>
  <si>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</si>
  <si>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</si>
  <si>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</si>
  <si>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</si>
  <si>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</si>
  <si>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</si>
  <si>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</si>
  <si>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</si>
  <si>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</si>
  <si>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</si>
  <si>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</si>
  <si>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</si>
  <si>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</si>
  <si>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</si>
  <si>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</si>
  <si>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</si>
  <si>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</si>
  <si>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</si>
  <si>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</si>
  <si>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</si>
  <si>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</si>
  <si>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</si>
  <si>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</si>
  <si>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</si>
  <si>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</si>
  <si>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</si>
  <si>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</si>
  <si>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</si>
  <si>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</si>
  <si>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</si>
  <si>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</si>
  <si>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</si>
  <si>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</si>
  <si>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</si>
  <si>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</si>
  <si>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</si>
  <si>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</si>
  <si>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</si>
  <si>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</si>
  <si>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</si>
  <si>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</si>
  <si>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</si>
  <si>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</si>
  <si>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</si>
  <si>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</si>
  <si>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</si>
  <si>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</si>
  <si>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</si>
  <si>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</si>
  <si>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</si>
  <si>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</si>
  <si>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</si>
  <si>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</si>
  <si>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</si>
  <si>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</si>
  <si>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</si>
  <si>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</si>
  <si>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</si>
  <si>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</si>
  <si>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</si>
  <si>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</si>
  <si>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</si>
  <si>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</si>
  <si>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</si>
  <si>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</si>
  <si>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</si>
  <si>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</si>
  <si>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</si>
  <si>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</si>
  <si>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</si>
  <si>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</si>
  <si>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</si>
  <si>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</si>
  <si>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</si>
  <si>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</si>
  <si>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</si>
  <si>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</si>
  <si>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</si>
  <si>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</si>
  <si>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</si>
  <si>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</si>
  <si>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</si>
  <si>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</si>
  <si>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</si>
  <si>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</si>
  <si>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</si>
  <si>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</si>
  <si>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</si>
  <si>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</si>
  <si>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</si>
  <si>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</si>
  <si>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</si>
  <si>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</si>
  <si>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</si>
  <si>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</si>
  <si>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</si>
  <si>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</si>
  <si>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</si>
  <si>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</si>
  <si>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</si>
  <si>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</si>
  <si>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</si>
  <si>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</si>
  <si>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</si>
  <si>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</si>
  <si>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</si>
  <si>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</si>
  <si>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</si>
  <si>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</si>
  <si>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</si>
  <si>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</si>
  <si>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</si>
  <si>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</si>
  <si>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</si>
  <si>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</si>
  <si>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</si>
  <si>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</si>
  <si>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</si>
  <si>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</si>
  <si>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</si>
  <si>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</si>
  <si>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</si>
  <si>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</si>
  <si>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</si>
  <si>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</si>
  <si>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</si>
  <si>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</si>
  <si>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</si>
  <si>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</si>
  <si>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</si>
  <si>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</si>
  <si>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</si>
  <si>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</si>
  <si>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</si>
  <si>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</si>
  <si>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</si>
  <si>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</si>
  <si>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</si>
  <si>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</si>
  <si>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</si>
  <si>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</si>
  <si>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</si>
  <si>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</si>
  <si>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</si>
  <si>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</si>
  <si>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</si>
  <si>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</si>
  <si>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</si>
  <si>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</si>
  <si>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</si>
  <si>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</si>
  <si>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</si>
  <si>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</si>
  <si>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</si>
  <si>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</si>
  <si>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</si>
  <si>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</si>
  <si>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</si>
  <si>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</si>
  <si>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</si>
  <si>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</si>
  <si>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</si>
  <si>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</si>
  <si>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</si>
  <si>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</si>
  <si>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</si>
  <si>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</si>
  <si>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</si>
  <si>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</si>
  <si>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</si>
  <si>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</si>
  <si>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</si>
  <si>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</si>
  <si>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</si>
  <si>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</si>
  <si>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</si>
  <si>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</si>
  <si>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</si>
  <si>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</si>
  <si>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</si>
  <si>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</si>
  <si>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</si>
  <si>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</si>
  <si>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</si>
  <si>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</si>
  <si>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</si>
  <si>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</si>
  <si>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</si>
  <si>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</si>
  <si>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</si>
  <si>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</si>
  <si>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</si>
  <si>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</si>
  <si>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</si>
  <si>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</si>
  <si>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</si>
  <si>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</si>
  <si>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</si>
  <si>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</si>
  <si>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</si>
  <si>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</si>
  <si>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</si>
  <si>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</si>
  <si>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</si>
  <si>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</si>
  <si>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</si>
  <si>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</si>
  <si>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</si>
  <si>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</si>
  <si>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</si>
  <si>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</si>
  <si>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</si>
  <si>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</si>
  <si>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</si>
  <si>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</si>
  <si>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</si>
  <si>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</si>
  <si>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</si>
  <si>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</si>
  <si>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</si>
  <si>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</si>
  <si>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</si>
  <si>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</si>
  <si>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</si>
  <si>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</si>
  <si>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</si>
  <si>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</si>
  <si>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</si>
  <si>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</si>
  <si>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</si>
  <si>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</si>
  <si>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</si>
  <si>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</si>
  <si>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</si>
  <si>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</si>
  <si>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</si>
  <si>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</si>
  <si>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</si>
  <si>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</si>
  <si>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</si>
  <si>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</si>
  <si>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</si>
  <si>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</si>
  <si>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</si>
  <si>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</si>
  <si>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</si>
  <si>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</si>
  <si>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</si>
  <si>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</si>
  <si>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</si>
  <si>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</si>
  <si>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</si>
  <si>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</si>
  <si>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</si>
  <si>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</si>
  <si>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</si>
  <si>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</si>
  <si>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</si>
  <si>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</si>
  <si>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</si>
  <si>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</si>
  <si>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</si>
  <si>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</si>
  <si>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</si>
  <si>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</si>
  <si>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</si>
  <si>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</si>
  <si>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</si>
  <si>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</si>
  <si>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</si>
  <si>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</si>
  <si>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</si>
  <si>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</si>
  <si>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</si>
  <si>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</si>
  <si>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</si>
  <si>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</si>
  <si>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</si>
  <si>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</si>
  <si>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</si>
  <si>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</si>
  <si>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</si>
  <si>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</si>
  <si>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</si>
  <si>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</si>
  <si>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</si>
  <si>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</si>
  <si>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</si>
  <si>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</si>
  <si>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</si>
  <si>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</si>
  <si>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</si>
  <si>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</si>
  <si>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</si>
  <si>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</si>
  <si>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</si>
  <si>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</si>
  <si>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</si>
  <si>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</si>
  <si>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</si>
  <si>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</si>
  <si>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</si>
  <si>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</si>
  <si>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</si>
  <si>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</si>
  <si>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</si>
  <si>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</si>
  <si>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</si>
  <si>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</si>
  <si>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</si>
  <si>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</si>
  <si>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</si>
  <si>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</si>
  <si>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</si>
  <si>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</si>
  <si>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</si>
  <si>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</si>
  <si>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</si>
  <si>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</si>
  <si>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</si>
  <si>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</si>
  <si>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</si>
  <si>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</si>
  <si>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</si>
  <si>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</si>
  <si>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</si>
  <si>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</si>
  <si>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</si>
  <si>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</si>
  <si>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</si>
  <si>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</si>
  <si>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</si>
  <si>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</si>
  <si>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</si>
  <si>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</si>
  <si>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</si>
  <si>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</si>
  <si>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</si>
  <si>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</si>
  <si>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</si>
  <si>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</si>
  <si>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</si>
  <si>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</si>
  <si>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</si>
  <si>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</si>
  <si>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</si>
  <si>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</si>
  <si>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</si>
  <si>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</si>
  <si>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</si>
  <si>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</si>
  <si>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</si>
  <si>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</si>
  <si>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</si>
  <si>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</si>
  <si>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</si>
  <si>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</si>
  <si>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</si>
  <si>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</si>
  <si>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</si>
  <si>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</si>
  <si>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</si>
  <si>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</si>
  <si>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</si>
  <si>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</si>
  <si>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</si>
  <si>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</si>
  <si>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</si>
  <si>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</si>
  <si>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</si>
  <si>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</si>
  <si>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</si>
  <si>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</si>
  <si>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</si>
  <si>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</si>
  <si>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</si>
  <si>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</si>
  <si>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</si>
  <si>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</si>
  <si>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</si>
  <si>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</si>
  <si>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</si>
  <si>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</si>
  <si>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</si>
  <si>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</si>
  <si>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</si>
  <si>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</si>
  <si>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</si>
  <si>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</si>
  <si>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</si>
  <si>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</si>
  <si>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</si>
  <si>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</si>
  <si>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</si>
  <si>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</si>
  <si>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</si>
  <si>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</si>
  <si>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</si>
  <si>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</si>
  <si>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</si>
  <si>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</si>
  <si>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</si>
  <si>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</si>
  <si>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</si>
  <si>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</si>
  <si>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</si>
  <si>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</si>
  <si>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</si>
  <si>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</si>
  <si>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</si>
  <si>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</si>
  <si>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</si>
  <si>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</si>
  <si>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</si>
  <si>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</si>
  <si>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</si>
  <si>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</si>
  <si>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</si>
  <si>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</si>
  <si>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</si>
  <si>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</si>
  <si>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</si>
  <si>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</si>
  <si>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</si>
  <si>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</si>
  <si>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</si>
  <si>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</si>
  <si>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</si>
  <si>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</si>
  <si>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</si>
  <si>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</si>
  <si>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</si>
  <si>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</si>
  <si>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</si>
  <si>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</si>
  <si>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</si>
  <si>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</si>
  <si>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</si>
  <si>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</si>
  <si>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</si>
  <si>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</si>
  <si>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</si>
  <si>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</si>
  <si>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</si>
  <si>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</si>
  <si>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</si>
  <si>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</si>
  <si>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</si>
  <si>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</si>
  <si>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</si>
  <si>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</si>
  <si>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</si>
  <si>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</si>
  <si>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</si>
  <si>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</si>
  <si>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</si>
  <si>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</si>
  <si>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</si>
  <si>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</si>
  <si>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</si>
  <si>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</si>
  <si>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</si>
  <si>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</si>
  <si>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</si>
  <si>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</si>
  <si>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</si>
  <si>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</si>
  <si>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</si>
  <si>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</si>
  <si>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</si>
  <si>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</si>
  <si>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</si>
  <si>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</si>
  <si>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</si>
  <si>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</si>
  <si>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</si>
  <si>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</si>
  <si>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</si>
  <si>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</si>
  <si>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</si>
  <si>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</si>
  <si>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</si>
  <si>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</si>
  <si>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</si>
  <si>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</si>
  <si>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</si>
  <si>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</si>
  <si>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</si>
  <si>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</si>
  <si>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</si>
  <si>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</si>
  <si>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</si>
  <si>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</si>
  <si>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</si>
  <si>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</si>
  <si>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</si>
  <si>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</si>
  <si>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</si>
  <si>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</si>
  <si>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</si>
  <si>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</si>
  <si>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</si>
  <si>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</si>
  <si>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</si>
  <si>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</si>
  <si>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</si>
  <si>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</si>
  <si>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</si>
  <si>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</si>
  <si>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</si>
  <si>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</si>
  <si>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</si>
  <si>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</si>
  <si>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</si>
  <si>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</si>
  <si>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</si>
  <si>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</si>
  <si>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</si>
  <si>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</si>
  <si>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</si>
  <si>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</si>
  <si>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</si>
  <si>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</si>
  <si>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</si>
  <si>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</si>
  <si>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</si>
  <si>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</si>
  <si>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</si>
  <si>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</si>
  <si>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</si>
  <si>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</si>
  <si>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</si>
  <si>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</si>
  <si>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</si>
  <si>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</si>
  <si>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</si>
  <si>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</si>
  <si>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</si>
  <si>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</si>
  <si>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</si>
  <si>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</si>
  <si>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</si>
  <si>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</si>
  <si>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</si>
  <si>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</si>
  <si>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</si>
  <si>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</si>
  <si>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</si>
  <si>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</si>
  <si>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</si>
  <si>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</si>
  <si>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</si>
  <si>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</si>
  <si>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</si>
  <si>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</si>
  <si>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</si>
  <si>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</si>
  <si>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</si>
  <si>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</si>
  <si>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</si>
  <si>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</si>
  <si>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</si>
  <si>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</si>
  <si>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</si>
  <si>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</si>
  <si>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</si>
  <si>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</si>
  <si>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</si>
  <si>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</si>
  <si>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</si>
  <si>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</si>
  <si>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</si>
  <si>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</si>
  <si>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</si>
  <si>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</si>
  <si>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</si>
  <si>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</si>
  <si>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</si>
  <si>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</si>
  <si>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</si>
  <si>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</si>
  <si>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</si>
  <si>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</si>
  <si>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</si>
  <si>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</si>
  <si>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</si>
  <si>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</si>
  <si>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</si>
  <si>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</si>
  <si>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</si>
  <si>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</si>
  <si>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</si>
  <si>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</si>
  <si>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</si>
  <si>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</si>
  <si>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</si>
  <si>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</si>
  <si>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</si>
  <si>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</si>
  <si>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</si>
  <si>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</si>
  <si>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</si>
  <si>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</si>
  <si>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</si>
  <si>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</si>
  <si>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</si>
  <si>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</si>
  <si>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</si>
  <si>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</si>
  <si>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</si>
  <si>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</si>
  <si>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</si>
  <si>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</si>
  <si>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</si>
  <si>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</si>
  <si>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</si>
  <si>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</si>
  <si>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</si>
  <si>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</si>
  <si>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</si>
  <si>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</si>
  <si>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</si>
  <si>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</si>
  <si>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</si>
  <si>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</si>
  <si>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</si>
  <si>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</si>
  <si>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</si>
  <si>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</si>
  <si>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</si>
  <si>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</si>
  <si>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</si>
  <si>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</si>
  <si>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</si>
  <si>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</si>
  <si>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</si>
  <si>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</si>
  <si>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</si>
  <si>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</si>
  <si>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</si>
  <si>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</si>
  <si>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</si>
  <si>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</si>
  <si>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</si>
  <si>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</si>
  <si>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</si>
  <si>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</si>
  <si>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</si>
  <si>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</si>
  <si>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</si>
  <si>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</si>
  <si>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</si>
  <si>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</si>
  <si>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</si>
  <si>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</si>
  <si>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</si>
  <si>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</si>
  <si>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</si>
  <si>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</si>
  <si>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</si>
  <si>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</si>
  <si>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</si>
  <si>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</si>
  <si>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</si>
  <si>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</si>
  <si>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</si>
  <si>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</si>
  <si>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</si>
  <si>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</si>
  <si>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</si>
  <si>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</si>
  <si>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</si>
  <si>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</si>
  <si>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</si>
  <si>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</si>
  <si>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</si>
  <si>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</si>
  <si>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</si>
  <si>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</si>
  <si>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</si>
  <si>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</si>
  <si>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</si>
  <si>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</si>
  <si>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</si>
  <si>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</si>
  <si>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</si>
  <si>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</si>
  <si>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</si>
  <si>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</si>
  <si>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</si>
  <si>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</si>
  <si>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</si>
  <si>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</si>
  <si>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</si>
  <si>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</si>
  <si>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</si>
  <si>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</si>
  <si>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</si>
  <si>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</si>
  <si>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</si>
  <si>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</si>
  <si>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</si>
  <si>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</si>
  <si>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</si>
  <si>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</si>
  <si>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</si>
  <si>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</si>
  <si>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</si>
  <si>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</si>
  <si>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</si>
  <si>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</si>
  <si>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</si>
  <si>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</si>
  <si>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</si>
  <si>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</si>
  <si>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</si>
  <si>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</si>
  <si>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</si>
  <si>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</si>
  <si>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</si>
  <si>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</si>
  <si>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</si>
  <si>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</si>
  <si>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</si>
  <si>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</si>
  <si>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</si>
  <si>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</si>
  <si>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</si>
  <si>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</si>
  <si>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</si>
  <si>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</si>
  <si>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</si>
  <si>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</si>
  <si>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</si>
  <si>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</si>
  <si>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</si>
  <si>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</si>
  <si>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</si>
  <si>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</si>
  <si>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</si>
  <si>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</si>
  <si>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</si>
  <si>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</si>
  <si>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</si>
  <si>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</si>
  <si>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</si>
  <si>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</si>
  <si>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</si>
  <si>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</si>
  <si>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</si>
  <si>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</si>
  <si>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</si>
  <si>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</si>
  <si>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</si>
  <si>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</si>
  <si>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</si>
  <si>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</si>
  <si>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</si>
  <si>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</si>
  <si>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</si>
  <si>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</si>
  <si>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</si>
  <si>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</si>
  <si>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</si>
  <si>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</si>
  <si>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</si>
  <si>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</si>
  <si>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</si>
  <si>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</si>
  <si>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</si>
  <si>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</si>
  <si>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</si>
  <si>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</si>
  <si>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</si>
  <si>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</si>
  <si>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</si>
  <si>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</si>
  <si>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</si>
  <si>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</si>
  <si>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</si>
  <si>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</si>
  <si>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</si>
  <si>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</si>
  <si>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</si>
  <si>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</si>
  <si>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</si>
  <si>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</si>
  <si>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</si>
  <si>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</si>
  <si>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</si>
  <si>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</si>
  <si>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</si>
  <si>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</si>
  <si>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</si>
  <si>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</si>
  <si>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</si>
  <si>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</si>
  <si>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</si>
  <si>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</si>
  <si>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</si>
  <si>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</si>
  <si>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</si>
  <si>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</si>
  <si>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</si>
  <si>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</si>
  <si>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</si>
  <si>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</si>
  <si>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</si>
  <si>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</si>
  <si>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</si>
  <si>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</si>
  <si>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</si>
  <si>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</si>
  <si>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</si>
  <si>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</si>
  <si>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</si>
  <si>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</si>
  <si>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</si>
  <si>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</si>
  <si>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</si>
  <si>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</si>
  <si>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</si>
  <si>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</si>
  <si>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</si>
  <si>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</si>
  <si>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</si>
  <si>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</si>
  <si>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</si>
  <si>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</si>
  <si>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</si>
  <si>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</si>
  <si>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</si>
  <si>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</si>
  <si>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</si>
  <si>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</si>
  <si>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</si>
  <si>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</si>
  <si>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</si>
  <si>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</si>
  <si>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</si>
  <si>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</si>
  <si>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</si>
  <si>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</si>
  <si>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</si>
  <si>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</si>
  <si>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</si>
  <si>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</si>
  <si>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</si>
  <si>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</si>
  <si>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</si>
  <si>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</si>
  <si>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</si>
  <si>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</si>
  <si>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</si>
  <si>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</si>
  <si>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</si>
  <si>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</si>
  <si>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</si>
  <si>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</si>
  <si>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</si>
  <si>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</si>
  <si>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</si>
  <si>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</si>
  <si>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</si>
  <si>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</si>
  <si>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</si>
  <si>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</si>
  <si>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</si>
  <si>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</si>
  <si>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</si>
  <si>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</si>
  <si>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</si>
  <si>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</si>
  <si>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</si>
  <si>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</si>
  <si>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</si>
  <si>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</si>
  <si>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</si>
  <si>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</si>
  <si>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</si>
  <si>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</si>
  <si>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</si>
  <si>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</si>
  <si>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</si>
  <si>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</si>
  <si>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</si>
  <si>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</si>
  <si>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</si>
  <si>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</si>
  <si>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</si>
  <si>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</si>
  <si>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</si>
  <si>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</si>
  <si>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</si>
  <si>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</si>
  <si>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</si>
  <si>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</si>
  <si>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</si>
  <si>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</si>
  <si>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</si>
  <si>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</si>
  <si>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</si>
  <si>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</si>
  <si>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</si>
  <si>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</si>
  <si>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</si>
  <si>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</si>
  <si>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</si>
  <si>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</si>
  <si>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</si>
  <si>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</si>
  <si>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</si>
  <si>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</si>
  <si>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</si>
  <si>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</si>
  <si>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</si>
  <si>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</si>
  <si>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</si>
  <si>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</si>
  <si>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</si>
  <si>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</si>
  <si>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</si>
  <si>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</si>
  <si>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</si>
  <si>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</si>
  <si>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</si>
  <si>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</si>
  <si>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</si>
  <si>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</si>
  <si>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</si>
  <si>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</si>
  <si>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</si>
  <si>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</si>
  <si>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</si>
  <si>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</si>
  <si>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</si>
  <si>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</si>
  <si>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</si>
  <si>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</si>
  <si>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</si>
  <si>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</si>
  <si>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</si>
  <si>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</si>
  <si>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</si>
  <si>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</si>
  <si>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</si>
  <si>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</si>
  <si>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</si>
  <si>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</si>
  <si>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</si>
  <si>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</si>
  <si>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</si>
  <si>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</si>
  <si>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</si>
  <si>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</si>
  <si>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</si>
  <si>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</si>
  <si>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</si>
  <si>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</si>
  <si>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</si>
  <si>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</si>
  <si>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</si>
  <si>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</si>
  <si>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</si>
  <si>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</si>
  <si>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</si>
  <si>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</si>
  <si>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</si>
  <si>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</si>
  <si>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</si>
  <si>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</si>
  <si>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</si>
  <si>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</si>
  <si>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</si>
  <si>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</si>
  <si>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</si>
  <si>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</si>
  <si>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</si>
  <si>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</si>
  <si>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</si>
  <si>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</si>
  <si>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</si>
  <si>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</si>
  <si>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</si>
  <si>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</si>
  <si>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</si>
  <si>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</si>
  <si>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</si>
  <si>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</si>
  <si>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</si>
  <si>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</si>
  <si>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</si>
  <si>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</si>
  <si>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</si>
  <si>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</si>
  <si>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</si>
  <si>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</si>
  <si>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</si>
  <si>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</si>
  <si>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</si>
  <si>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</si>
  <si>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</si>
  <si>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</si>
  <si>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</si>
  <si>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</si>
  <si>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</si>
  <si>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</si>
  <si>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</si>
  <si>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</si>
  <si>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</si>
  <si>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</si>
  <si>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</si>
  <si>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</si>
  <si>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</si>
  <si>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</si>
  <si>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</si>
  <si>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</si>
  <si>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</si>
  <si>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</si>
  <si>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</si>
  <si>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</si>
  <si>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</si>
  <si>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</si>
  <si>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</si>
  <si>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</si>
  <si>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</si>
  <si>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</si>
  <si>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</si>
  <si>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</si>
  <si>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</si>
  <si>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</si>
  <si>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</si>
  <si>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</si>
  <si>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</si>
  <si>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</si>
  <si>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</si>
  <si>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</si>
  <si>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</si>
  <si>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</si>
  <si>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</si>
  <si>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</si>
  <si>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</si>
  <si>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</si>
  <si>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</si>
  <si>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</si>
  <si>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</si>
  <si>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</si>
  <si>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</si>
  <si>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</si>
  <si>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</si>
  <si>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</si>
  <si>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</si>
  <si>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</si>
  <si>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</si>
  <si>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</si>
  <si>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</si>
  <si>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</si>
  <si>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</si>
  <si>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</si>
  <si>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</si>
  <si>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</si>
  <si>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</si>
  <si>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</si>
  <si>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</si>
  <si>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</si>
  <si>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</si>
  <si>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</si>
  <si>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</si>
  <si>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</si>
  <si>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</si>
  <si>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</si>
  <si>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</si>
  <si>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</si>
  <si>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</si>
  <si>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</si>
  <si>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</si>
  <si>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</si>
  <si>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</si>
  <si>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</si>
  <si>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</si>
  <si>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</si>
  <si>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</si>
  <si>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</si>
  <si>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</si>
  <si>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</si>
  <si>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</si>
  <si>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</si>
  <si>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</si>
  <si>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</si>
  <si>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</si>
  <si>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</si>
  <si>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</si>
  <si>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</si>
  <si>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</si>
  <si>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</si>
  <si>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</si>
  <si>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</si>
  <si>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</si>
  <si>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</si>
  <si>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</si>
  <si>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</si>
  <si>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</si>
  <si>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</si>
  <si>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</si>
  <si>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</si>
  <si>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</si>
  <si>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</si>
  <si>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</si>
  <si>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</si>
  <si>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</si>
  <si>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</si>
  <si>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</si>
  <si>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</si>
  <si>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</si>
  <si>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</si>
  <si>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</si>
  <si>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</si>
  <si>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</si>
  <si>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</si>
  <si>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</si>
  <si>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</si>
  <si>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</si>
  <si>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</si>
  <si>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</si>
  <si>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</si>
  <si>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</si>
  <si>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</si>
  <si>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</si>
  <si>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</si>
  <si>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</si>
  <si>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</si>
  <si>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</si>
  <si>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</si>
  <si>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</si>
  <si>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</si>
  <si>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</si>
  <si>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</si>
  <si>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</si>
  <si>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</si>
  <si>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</si>
  <si>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</si>
  <si>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</si>
  <si>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</si>
  <si>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</si>
  <si>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</si>
  <si>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</si>
  <si>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</si>
  <si>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</si>
  <si>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</si>
  <si>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</si>
  <si>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</si>
  <si>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</si>
  <si>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</si>
  <si>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</si>
  <si>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</si>
  <si>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</si>
  <si>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</si>
  <si>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</si>
  <si>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</si>
  <si>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</si>
  <si>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</si>
  <si>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</si>
  <si>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</si>
  <si>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</si>
  <si>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</si>
  <si>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</si>
  <si>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</si>
  <si>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</si>
  <si>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</si>
  <si>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</si>
  <si>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</si>
  <si>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</si>
  <si>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</si>
  <si>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</si>
  <si>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</si>
  <si>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</si>
  <si>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</si>
  <si>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</si>
  <si>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</si>
  <si>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</si>
  <si>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</si>
  <si>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</si>
  <si>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</si>
  <si>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</si>
  <si>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</si>
  <si>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</si>
  <si>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</si>
  <si>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</si>
  <si>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</si>
  <si>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</si>
  <si>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</si>
  <si>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</si>
  <si>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</si>
  <si>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</si>
  <si>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</si>
  <si>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</si>
  <si>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</si>
  <si>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</si>
  <si>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</si>
  <si>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</si>
  <si>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</si>
  <si>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</si>
  <si>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</si>
  <si>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</si>
  <si>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</si>
  <si>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</si>
  <si>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</si>
  <si>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</si>
  <si>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</si>
  <si>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</si>
  <si>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</si>
  <si>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</si>
  <si>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</si>
  <si>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</si>
  <si>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</si>
  <si>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</si>
  <si>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</si>
  <si>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</si>
  <si>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</si>
  <si>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</si>
  <si>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</si>
  <si>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</si>
  <si>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</si>
  <si>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</si>
  <si>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</si>
  <si>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</si>
  <si>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</si>
  <si>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</si>
  <si>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</si>
  <si>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</si>
  <si>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</si>
  <si>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</si>
  <si>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</si>
  <si>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</si>
  <si>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</si>
  <si>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</si>
  <si>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</si>
  <si>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</si>
  <si>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</si>
  <si>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</si>
  <si>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</si>
  <si>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</si>
  <si>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</si>
  <si>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</si>
  <si>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</si>
  <si>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</si>
  <si>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</si>
  <si>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</si>
  <si>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</si>
  <si>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</si>
  <si>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</si>
  <si>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</si>
  <si>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</si>
  <si>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</si>
  <si>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</si>
  <si>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</si>
  <si>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</si>
  <si>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</si>
  <si>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</si>
  <si>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</si>
  <si>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</si>
  <si>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</si>
  <si>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</si>
  <si>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</si>
  <si>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</si>
  <si>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</si>
  <si>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</si>
  <si>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</si>
  <si>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</si>
  <si>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</si>
  <si>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</si>
  <si>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</si>
  <si>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</si>
  <si>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</si>
  <si>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</si>
  <si>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</si>
  <si>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</si>
  <si>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</si>
  <si>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</si>
  <si>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</si>
  <si>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</si>
  <si>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</si>
  <si>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</si>
  <si>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</si>
  <si>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</si>
  <si>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</si>
  <si>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</si>
  <si>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</si>
  <si>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</si>
  <si>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</si>
  <si>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</si>
  <si>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</si>
  <si>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</si>
  <si>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</si>
  <si>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</si>
  <si>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</si>
  <si>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</si>
  <si>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</si>
  <si>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</si>
  <si>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</si>
  <si>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</si>
  <si>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</si>
  <si>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</si>
  <si>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</si>
  <si>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</si>
  <si>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</si>
  <si>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</si>
  <si>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</si>
  <si>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</si>
  <si>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</si>
  <si>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</si>
  <si>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</si>
  <si>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</si>
  <si>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</si>
  <si>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</si>
  <si>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</si>
  <si>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</si>
  <si>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</si>
  <si>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</si>
  <si>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</si>
  <si>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</si>
  <si>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</si>
  <si>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</si>
  <si>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</si>
  <si>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</si>
  <si>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</si>
  <si>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</si>
  <si>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</si>
  <si>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</si>
  <si>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</si>
  <si>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</si>
  <si>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</si>
  <si>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</si>
  <si>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</si>
  <si>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</si>
  <si>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</si>
  <si>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</si>
  <si>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</si>
  <si>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</si>
  <si>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</si>
  <si>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</si>
  <si>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</si>
  <si>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</si>
  <si>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</si>
  <si>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</si>
  <si>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</si>
  <si>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</si>
  <si>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</si>
  <si>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</si>
  <si>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</si>
  <si>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</si>
  <si>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</si>
  <si>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</si>
  <si>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</si>
  <si>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</si>
  <si>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</si>
  <si>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</si>
  <si>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</si>
  <si>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</si>
  <si>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</si>
  <si>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</si>
  <si>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</si>
  <si>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</si>
  <si>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</si>
  <si>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</si>
  <si>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</si>
  <si>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</si>
  <si>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</si>
  <si>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</si>
  <si>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</si>
  <si>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</si>
  <si>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</si>
  <si>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</si>
  <si>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</si>
  <si>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</si>
  <si>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</si>
  <si>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</si>
  <si>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</si>
  <si>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</si>
  <si>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</si>
  <si>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</si>
  <si>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</si>
  <si>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</si>
  <si>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</si>
  <si>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</si>
  <si>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</si>
  <si>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</si>
  <si>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</si>
  <si>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</si>
  <si>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</si>
  <si>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</si>
  <si>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</si>
  <si>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</si>
  <si>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</si>
  <si>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</si>
  <si>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</si>
  <si>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</si>
  <si>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</si>
  <si>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</si>
  <si>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</si>
  <si>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</si>
  <si>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</si>
  <si>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</si>
  <si>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</si>
  <si>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</si>
  <si>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</si>
  <si>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</si>
  <si>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</si>
  <si>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</si>
  <si>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</si>
  <si>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</si>
  <si>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</si>
  <si>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</si>
  <si>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</si>
  <si>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</si>
  <si>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</si>
  <si>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</si>
  <si>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</si>
  <si>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</si>
  <si>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</si>
  <si>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</si>
  <si>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</si>
  <si>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</si>
  <si>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</si>
  <si>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</si>
  <si>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</si>
  <si>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</si>
  <si>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</si>
  <si>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</si>
  <si>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</si>
  <si>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</si>
  <si>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</si>
  <si>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</si>
  <si>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</si>
  <si>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</si>
  <si>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</si>
  <si>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</si>
  <si>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</si>
  <si>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</si>
  <si>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</si>
  <si>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</si>
  <si>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</si>
  <si>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</si>
  <si>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</si>
  <si>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</si>
  <si>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</si>
  <si>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</si>
  <si>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</si>
  <si>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</si>
  <si>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</si>
  <si>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</si>
  <si>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</si>
  <si>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</si>
  <si>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</si>
  <si>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</si>
  <si>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</si>
  <si>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</si>
  <si>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</si>
  <si>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</si>
  <si>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</si>
  <si>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</si>
  <si>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</si>
  <si>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</si>
  <si>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</si>
  <si>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</si>
  <si>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</si>
  <si>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</si>
  <si>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</si>
  <si>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</si>
  <si>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</si>
  <si>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</si>
  <si>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</si>
  <si>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</si>
  <si>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</si>
  <si>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</si>
  <si>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</si>
  <si>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</si>
  <si>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</si>
  <si>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</si>
  <si>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</si>
  <si>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</si>
  <si>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</si>
  <si>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</si>
  <si>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</si>
  <si>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</si>
  <si>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</si>
  <si>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</si>
  <si>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</si>
  <si>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</si>
  <si>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</si>
  <si>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</si>
  <si>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</si>
  <si>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</si>
  <si>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</si>
  <si>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</si>
  <si>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</si>
  <si>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</si>
  <si>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</si>
  <si>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</si>
  <si>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</si>
  <si>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</si>
  <si>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</si>
  <si>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</si>
  <si>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</si>
  <si>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</si>
  <si>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</si>
  <si>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</si>
  <si>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</si>
  <si>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</si>
  <si>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</si>
  <si>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</si>
  <si>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</si>
  <si>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</si>
  <si>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</si>
  <si>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</si>
  <si>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</si>
  <si>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</si>
  <si>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</si>
  <si>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</si>
  <si>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</si>
  <si>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</si>
  <si>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</si>
  <si>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</si>
  <si>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</si>
  <si>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</si>
  <si>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</si>
  <si>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</si>
  <si>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</si>
  <si>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</si>
  <si>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</si>
  <si>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</si>
  <si>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</si>
  <si>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</si>
  <si>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</si>
  <si>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</si>
  <si>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</si>
  <si>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</si>
  <si>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</si>
  <si>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</si>
  <si>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</si>
  <si>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</si>
  <si>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</si>
  <si>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</si>
  <si>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</si>
  <si>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</si>
  <si>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</si>
  <si>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</si>
  <si>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</si>
  <si>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</si>
  <si>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</si>
  <si>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</si>
  <si>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</si>
  <si>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</si>
  <si>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</si>
  <si>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</si>
  <si>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</si>
  <si>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</si>
  <si>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</si>
  <si>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</si>
  <si>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</si>
  <si>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</si>
  <si>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</si>
  <si>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</si>
  <si>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</si>
  <si>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</si>
  <si>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</si>
  <si>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</si>
  <si>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</si>
  <si>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</si>
  <si>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</si>
  <si>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</si>
  <si>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</si>
  <si>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</si>
  <si>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</si>
  <si>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</si>
  <si>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</si>
  <si>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</si>
  <si>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</si>
  <si>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</si>
  <si>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</si>
  <si>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</si>
  <si>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</si>
  <si>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</si>
  <si>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</si>
  <si>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</si>
  <si>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</si>
  <si>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</si>
  <si>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</si>
  <si>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</si>
  <si>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</si>
  <si>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</si>
  <si>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</si>
  <si>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</si>
  <si>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</si>
  <si>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</si>
  <si>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</si>
  <si>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</si>
  <si>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</si>
  <si>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</si>
  <si>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</si>
  <si>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</si>
  <si>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</si>
  <si>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</si>
  <si>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</si>
  <si>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</si>
  <si>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</si>
  <si>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</si>
  <si>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</si>
  <si>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</si>
  <si>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</si>
  <si>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</si>
  <si>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</si>
  <si>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</si>
  <si>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</si>
  <si>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</si>
  <si>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</si>
  <si>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</si>
  <si>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</si>
  <si>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</si>
  <si>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</si>
  <si>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</si>
  <si>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</si>
  <si>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</si>
  <si>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</si>
  <si>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</si>
  <si>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</si>
  <si>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</si>
  <si>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</si>
  <si>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</si>
  <si>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</si>
  <si>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</si>
  <si>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</si>
  <si>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</si>
  <si>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</si>
  <si>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</si>
  <si>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</si>
  <si>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</si>
  <si>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</si>
  <si>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</si>
  <si>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</si>
  <si>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</si>
  <si>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</si>
  <si>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</si>
  <si>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</si>
  <si>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</si>
  <si>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</si>
  <si>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</si>
  <si>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</si>
  <si>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</si>
  <si>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</si>
  <si>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</si>
  <si>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</si>
  <si>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</si>
  <si>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</si>
  <si>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</si>
  <si>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</si>
  <si>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</si>
  <si>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</si>
  <si>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</si>
  <si>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</si>
  <si>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</si>
  <si>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</si>
  <si>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</si>
  <si>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</si>
  <si>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</si>
  <si>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</si>
  <si>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</si>
  <si>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</si>
  <si>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</si>
  <si>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</si>
  <si>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</si>
  <si>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</si>
  <si>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</si>
  <si>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</si>
  <si>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</si>
  <si>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</si>
  <si>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</si>
  <si>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</si>
  <si>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</si>
  <si>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</si>
  <si>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</si>
  <si>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</si>
  <si>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</si>
  <si>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</si>
  <si>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</si>
  <si>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</si>
  <si>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</si>
  <si>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</si>
  <si>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</si>
  <si>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</si>
  <si>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</si>
  <si>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</si>
  <si>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</si>
  <si>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</si>
  <si>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</si>
  <si>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</si>
  <si>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</si>
  <si>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</si>
  <si>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</si>
  <si>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</si>
  <si>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</si>
  <si>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</si>
  <si>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</si>
  <si>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</si>
  <si>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</si>
  <si>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</si>
  <si>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</si>
  <si>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</si>
  <si>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</si>
  <si>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</si>
  <si>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</si>
  <si>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</si>
  <si>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</si>
  <si>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</si>
  <si>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</si>
  <si>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</si>
  <si>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</si>
  <si>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</si>
  <si>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</si>
  <si>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</si>
  <si>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</si>
  <si>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</si>
  <si>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</si>
  <si>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</si>
  <si>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</si>
  <si>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</si>
  <si>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</si>
  <si>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</si>
  <si>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</si>
  <si>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</si>
  <si>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</si>
  <si>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</si>
  <si>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</si>
  <si>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</si>
  <si>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</si>
  <si>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</si>
  <si>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</si>
  <si>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</si>
  <si>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</si>
  <si>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</si>
  <si>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</si>
  <si>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</si>
  <si>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</si>
  <si>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</si>
  <si>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</si>
  <si>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</si>
  <si>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</si>
  <si>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</si>
  <si>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</si>
  <si>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</si>
  <si>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</si>
  <si>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</si>
  <si>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</si>
  <si>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</si>
  <si>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</si>
  <si>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</si>
  <si>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</si>
  <si>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</si>
  <si>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</si>
  <si>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</si>
  <si>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</si>
  <si>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</si>
  <si>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</si>
  <si>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</si>
  <si>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</si>
  <si>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</si>
  <si>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</si>
  <si>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</si>
  <si>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</si>
  <si>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</si>
  <si>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</si>
  <si>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</si>
  <si>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</si>
  <si>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</si>
  <si>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</si>
  <si>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</si>
  <si>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</si>
  <si>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</si>
  <si>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</si>
  <si>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</si>
  <si>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</si>
  <si>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</si>
  <si>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</si>
  <si>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</si>
  <si>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</si>
  <si>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</si>
  <si>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</si>
  <si>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</si>
  <si>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</si>
  <si>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</si>
  <si>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</si>
  <si>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</si>
  <si>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</si>
  <si>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</si>
  <si>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</si>
  <si>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</si>
  <si>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</si>
  <si>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</si>
  <si>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</si>
  <si>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</si>
  <si>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</si>
  <si>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</si>
  <si>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</si>
  <si>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</si>
  <si>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</si>
  <si>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</si>
  <si>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</si>
  <si>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</si>
  <si>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</si>
  <si>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</si>
  <si>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</si>
  <si>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</si>
  <si>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</si>
  <si>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</si>
  <si>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</si>
  <si>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</si>
  <si>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</si>
  <si>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</si>
  <si>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</si>
  <si>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</si>
  <si>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</si>
  <si>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</si>
  <si>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</si>
  <si>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</si>
  <si>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</si>
  <si>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</si>
  <si>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</si>
  <si>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</si>
  <si>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</si>
  <si>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</si>
  <si>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</si>
  <si>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</si>
  <si>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</si>
  <si>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</si>
  <si>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</si>
  <si>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</si>
  <si>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</si>
  <si>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</si>
  <si>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</si>
  <si>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</si>
  <si>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</si>
  <si>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</si>
  <si>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</si>
  <si>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</si>
  <si>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</si>
  <si>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</si>
  <si>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</si>
  <si>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</si>
  <si>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</si>
  <si>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</si>
  <si>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</si>
  <si>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</si>
  <si>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</si>
  <si>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</si>
  <si>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</si>
  <si>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</si>
  <si>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</si>
  <si>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</si>
  <si>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</si>
  <si>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</si>
  <si>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</si>
  <si>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</si>
  <si>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</si>
  <si>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</si>
  <si>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</si>
  <si>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</si>
  <si>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</si>
  <si>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</si>
  <si>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</si>
  <si>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</si>
  <si>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</si>
  <si>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</si>
  <si>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</si>
  <si>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</si>
  <si>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</si>
  <si>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</si>
  <si>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</si>
  <si>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</si>
  <si>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</si>
  <si>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</si>
  <si>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</si>
  <si>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</si>
  <si>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</si>
  <si>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</si>
  <si>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</si>
  <si>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</si>
  <si>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</si>
  <si>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</si>
  <si>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</si>
  <si>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</si>
  <si>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</si>
  <si>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</si>
  <si>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</si>
  <si>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</si>
  <si>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</si>
  <si>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</si>
  <si>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</si>
  <si>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</si>
  <si>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</si>
  <si>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</si>
  <si>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</si>
  <si>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</si>
  <si>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</si>
  <si>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</si>
  <si>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</si>
  <si>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</si>
  <si>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</si>
  <si>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</si>
  <si>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</si>
  <si>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</si>
  <si>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</si>
  <si>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</si>
  <si>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</si>
  <si>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</si>
  <si>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</si>
  <si>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</si>
  <si>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</si>
  <si>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</si>
  <si>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</si>
  <si>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</si>
  <si>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</si>
  <si>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</si>
  <si>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</si>
  <si>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</si>
  <si>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</si>
  <si>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</si>
  <si>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</si>
  <si>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</si>
  <si>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</si>
  <si>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</si>
  <si>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</si>
  <si>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</si>
  <si>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</si>
  <si>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</si>
  <si>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</si>
  <si>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</si>
  <si>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</si>
  <si>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</si>
  <si>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</si>
  <si>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</si>
  <si>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</si>
  <si>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</si>
  <si>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</si>
  <si>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</si>
  <si>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</si>
  <si>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</si>
  <si>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</si>
  <si>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</si>
  <si>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</si>
  <si>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</si>
  <si>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</si>
  <si>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</si>
  <si>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</si>
  <si>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</si>
  <si>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</si>
  <si>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</si>
  <si>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</si>
  <si>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</si>
  <si>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</si>
  <si>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</si>
  <si>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</si>
  <si>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</si>
  <si>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</si>
  <si>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</si>
  <si>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</si>
  <si>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</si>
  <si>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</si>
  <si>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</si>
  <si>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</si>
  <si>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</si>
  <si>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</si>
  <si>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</si>
  <si>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</si>
  <si>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</si>
  <si>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</si>
  <si>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</si>
  <si>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</si>
  <si>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</si>
  <si>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</si>
  <si>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</si>
  <si>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</si>
  <si>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</si>
  <si>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</si>
  <si>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</si>
  <si>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</si>
  <si>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</si>
  <si>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</si>
  <si>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</si>
  <si>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</si>
  <si>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</si>
  <si>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</si>
  <si>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</si>
  <si>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</si>
  <si>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</si>
  <si>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</si>
  <si>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</si>
  <si>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</si>
  <si>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</si>
  <si>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</si>
  <si>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</si>
  <si>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</si>
  <si>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</si>
  <si>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</si>
  <si>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</si>
  <si>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</si>
  <si>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</si>
  <si>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</si>
  <si>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</si>
  <si>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</si>
  <si>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</si>
  <si>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</si>
  <si>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</si>
  <si>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</si>
  <si>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</si>
  <si>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</si>
  <si>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</si>
  <si>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</si>
  <si>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</si>
  <si>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</si>
  <si>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</si>
  <si>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</si>
  <si>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</si>
  <si>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</si>
  <si>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</si>
  <si>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</si>
  <si>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</si>
  <si>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</si>
  <si>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</si>
  <si>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</si>
  <si>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</si>
  <si>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</si>
  <si>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</si>
  <si>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</si>
  <si>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</si>
  <si>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</si>
  <si>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</si>
  <si>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</si>
  <si>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</si>
  <si>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</si>
  <si>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</si>
  <si>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</si>
  <si>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</si>
  <si>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</si>
  <si>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</si>
  <si>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</si>
  <si>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</si>
  <si>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</si>
  <si>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</si>
  <si>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</si>
  <si>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</si>
  <si>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</si>
  <si>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</si>
  <si>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</si>
  <si>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</si>
  <si>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</si>
  <si>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</si>
  <si>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</si>
  <si>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</si>
  <si>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</si>
  <si>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</si>
  <si>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</si>
  <si>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</si>
  <si>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</si>
  <si>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</si>
  <si>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</si>
  <si>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</si>
  <si>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</si>
  <si>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</si>
  <si>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</si>
  <si>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</si>
  <si>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</si>
  <si>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</si>
  <si>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</si>
  <si>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</si>
  <si>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</si>
  <si>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</si>
  <si>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</si>
  <si>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</si>
  <si>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</si>
  <si>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</si>
  <si>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</si>
  <si>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</si>
  <si>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</si>
  <si>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</si>
  <si>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</si>
  <si>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</si>
  <si>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</si>
  <si>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</si>
  <si>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</si>
  <si>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</si>
  <si>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</si>
  <si>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</si>
  <si>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</si>
  <si>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</si>
  <si>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</si>
  <si>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</si>
  <si>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</si>
  <si>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</si>
  <si>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</si>
  <si>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</si>
  <si>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</si>
  <si>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</si>
  <si>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</si>
  <si>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</si>
  <si>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</si>
  <si>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</si>
  <si>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</si>
  <si>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</si>
  <si>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</si>
  <si>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</si>
  <si>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</si>
  <si>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</si>
  <si>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</si>
  <si>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</si>
  <si>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</si>
  <si>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</si>
  <si>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</si>
  <si>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</si>
  <si>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</si>
  <si>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</si>
  <si>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</si>
  <si>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</si>
  <si>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</si>
  <si>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</si>
  <si>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</si>
  <si>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</si>
  <si>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</si>
  <si>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</si>
  <si>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</si>
  <si>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</si>
  <si>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</si>
  <si>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</si>
  <si>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</si>
  <si>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</si>
  <si>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</si>
  <si>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</si>
  <si>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</si>
  <si>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</si>
  <si>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</si>
  <si>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</si>
  <si>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</si>
  <si>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</si>
  <si>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</si>
  <si>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</si>
  <si>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</si>
  <si>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</si>
  <si>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</si>
  <si>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</si>
  <si>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</si>
  <si>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</si>
  <si>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</si>
  <si>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</si>
  <si>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</si>
  <si>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</si>
  <si>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</si>
  <si>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</si>
  <si>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</si>
  <si>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</si>
  <si>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</si>
  <si>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</si>
  <si>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</si>
  <si>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</si>
  <si>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</si>
  <si>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</si>
  <si>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</si>
  <si>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</si>
  <si>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</si>
  <si>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</si>
  <si>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</si>
  <si>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</si>
  <si>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</si>
  <si>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</si>
  <si>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</si>
  <si>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</si>
  <si>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</si>
  <si>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</si>
  <si>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</si>
  <si>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</si>
  <si>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</si>
  <si>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</si>
  <si>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</si>
  <si>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</si>
  <si>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</si>
  <si>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</si>
  <si>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</si>
  <si>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</si>
  <si>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</si>
  <si>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</si>
  <si>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</si>
  <si>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</si>
  <si>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</si>
  <si>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</si>
  <si>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</si>
  <si>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</si>
  <si>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</si>
  <si>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</si>
  <si>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</si>
  <si>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</si>
  <si>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</si>
  <si>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</si>
  <si>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</si>
  <si>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</si>
  <si>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</si>
  <si>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</si>
  <si>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</si>
  <si>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</si>
  <si>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</si>
  <si>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</si>
  <si>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</si>
  <si>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</si>
  <si>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</si>
  <si>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</si>
  <si>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</si>
  <si>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</si>
  <si>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</si>
  <si>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</si>
  <si>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</si>
  <si>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</si>
  <si>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</si>
  <si>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</si>
  <si>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</si>
  <si>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</si>
  <si>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</si>
  <si>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</si>
  <si>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</si>
  <si>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</si>
  <si>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</si>
  <si>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</si>
  <si>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</si>
  <si>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</si>
  <si>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</si>
  <si>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</si>
  <si>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</si>
  <si>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</si>
  <si>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</si>
  <si>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</si>
  <si>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</si>
  <si>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</si>
  <si>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</si>
  <si>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</si>
  <si>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</si>
  <si>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</si>
  <si>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</si>
  <si>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</si>
  <si>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</si>
  <si>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</si>
  <si>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</si>
  <si>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</si>
  <si>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</si>
  <si>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</si>
  <si>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</si>
  <si>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</si>
  <si>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</si>
  <si>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</si>
  <si>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</si>
  <si>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</si>
  <si>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</si>
  <si>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</si>
  <si>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</si>
  <si>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</si>
  <si>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</si>
  <si>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</si>
  <si>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</si>
  <si>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</si>
  <si>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</si>
  <si>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</si>
  <si>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</si>
  <si>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</si>
  <si>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</si>
  <si>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</si>
  <si>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</si>
  <si>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</si>
  <si>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</si>
  <si>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</si>
  <si>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</si>
  <si>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</si>
  <si>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</si>
  <si>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</si>
  <si>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</si>
  <si>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</si>
  <si>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</si>
  <si>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</si>
  <si>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</si>
  <si>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</si>
  <si>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</si>
  <si>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</si>
  <si>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</si>
  <si>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</si>
  <si>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</si>
  <si>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</si>
  <si>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</si>
  <si>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</si>
  <si>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</si>
  <si>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</si>
  <si>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</si>
  <si>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</si>
  <si>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</si>
  <si>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</si>
  <si>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</si>
  <si>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</si>
  <si>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</si>
  <si>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</si>
  <si>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</si>
  <si>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</si>
  <si>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</si>
  <si>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</si>
  <si>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</si>
  <si>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</si>
  <si>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</si>
  <si>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</si>
  <si>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</si>
  <si>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</si>
  <si>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</si>
  <si>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</si>
  <si>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</si>
  <si>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</si>
  <si>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</si>
  <si>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</si>
  <si>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</si>
  <si>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</si>
  <si>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</si>
  <si>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</si>
  <si>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</si>
  <si>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</si>
  <si>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</si>
  <si>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</si>
  <si>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</si>
  <si>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</si>
  <si>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</si>
  <si>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</si>
  <si>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</si>
  <si>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</si>
  <si>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</si>
  <si>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</si>
  <si>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</si>
  <si>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</si>
  <si>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</si>
  <si>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</si>
  <si>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</si>
  <si>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</si>
  <si>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</si>
  <si>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</si>
  <si>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</si>
  <si>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</si>
  <si>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</si>
  <si>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</si>
  <si>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</si>
  <si>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</si>
  <si>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</si>
  <si>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</si>
  <si>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</si>
  <si>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</si>
  <si>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</si>
  <si>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</si>
  <si>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</si>
  <si>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</si>
  <si>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</si>
  <si>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</si>
  <si>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</si>
  <si>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</si>
  <si>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</si>
  <si>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</si>
  <si>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</si>
  <si>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</si>
  <si>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</si>
  <si>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</si>
  <si>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</si>
  <si>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</si>
  <si>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</si>
  <si>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</si>
  <si>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</si>
  <si>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</si>
  <si>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</si>
  <si>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</si>
  <si>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</si>
  <si>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</si>
  <si>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</si>
  <si>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</si>
  <si>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</si>
  <si>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</si>
  <si>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</si>
  <si>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</si>
  <si>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</si>
  <si>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</si>
  <si>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</si>
  <si>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</si>
  <si>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</si>
  <si>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</si>
  <si>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</si>
  <si>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</si>
  <si>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</si>
  <si>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</si>
  <si>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</si>
  <si>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</si>
  <si>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</si>
  <si>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</si>
  <si>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</si>
  <si>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</si>
  <si>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</si>
  <si>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</si>
  <si>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</si>
  <si>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</si>
  <si>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</si>
  <si>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</si>
  <si>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</si>
  <si>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</si>
  <si>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</si>
  <si>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</si>
  <si>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</si>
  <si>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</si>
  <si>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</si>
  <si>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</si>
  <si>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</si>
  <si>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</si>
  <si>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</si>
  <si>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</si>
  <si>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</si>
  <si>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</si>
  <si>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</si>
  <si>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</si>
  <si>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</si>
  <si>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</si>
  <si>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</si>
  <si>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</si>
  <si>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</si>
  <si>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</si>
  <si>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</si>
  <si>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</si>
  <si>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</si>
  <si>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</si>
  <si>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</si>
  <si>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</si>
  <si>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</si>
  <si>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</si>
  <si>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</si>
  <si>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</si>
  <si>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</si>
  <si>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</si>
  <si>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</si>
  <si>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</si>
  <si>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</si>
  <si>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</si>
  <si>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</si>
  <si>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</si>
  <si>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</si>
  <si>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</si>
  <si>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</si>
  <si>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</si>
  <si>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</si>
  <si>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</si>
  <si>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</si>
  <si>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</si>
  <si>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</si>
  <si>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</si>
  <si>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</si>
  <si>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</si>
  <si>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</si>
  <si>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</si>
  <si>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</si>
  <si>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</si>
  <si>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</si>
  <si>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</si>
  <si>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</si>
  <si>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</si>
  <si>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</si>
  <si>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</si>
  <si>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</si>
  <si>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</si>
  <si>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</si>
  <si>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</si>
  <si>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</si>
  <si>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</si>
  <si>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</si>
  <si>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</si>
  <si>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</si>
  <si>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</si>
  <si>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</si>
  <si>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</si>
  <si>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</si>
  <si>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</si>
  <si>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</si>
  <si>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</si>
  <si>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</si>
  <si>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</si>
  <si>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</si>
  <si>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</si>
  <si>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</si>
  <si>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</si>
  <si>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</si>
  <si>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</si>
  <si>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</si>
  <si>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</si>
  <si>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</si>
  <si>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</si>
  <si>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</si>
  <si>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</si>
  <si>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</si>
  <si>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</si>
  <si>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</si>
  <si>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</si>
  <si>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</si>
  <si>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</si>
  <si>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</si>
  <si>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</si>
  <si>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</si>
  <si>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</si>
  <si>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</si>
  <si>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</si>
  <si>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</si>
  <si>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</si>
  <si>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</si>
  <si>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</si>
  <si>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</si>
  <si>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</si>
  <si>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</si>
  <si>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</si>
  <si>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</si>
  <si>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</si>
  <si>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</si>
  <si>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</si>
  <si>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</si>
  <si>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</si>
  <si>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</si>
  <si>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</si>
  <si>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</si>
  <si>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</si>
  <si>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</si>
  <si>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</si>
  <si>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</si>
  <si>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</si>
  <si>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</si>
  <si>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</si>
  <si>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</si>
  <si>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</si>
  <si>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</si>
  <si>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</si>
  <si>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</si>
  <si>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</si>
  <si>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</si>
  <si>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</si>
  <si>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</si>
  <si>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</si>
  <si>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</si>
  <si>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</si>
  <si>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</si>
  <si>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</si>
  <si>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</si>
  <si>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</si>
  <si>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</si>
  <si>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</si>
  <si>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</si>
  <si>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</si>
  <si>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</si>
  <si>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</si>
  <si>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</si>
  <si>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</si>
  <si>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</si>
  <si>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</si>
  <si>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</si>
  <si>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</si>
  <si>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</si>
  <si>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</si>
  <si>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</si>
  <si>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</si>
  <si>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</si>
  <si>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</si>
  <si>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</si>
  <si>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</si>
  <si>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</si>
  <si>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</si>
  <si>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</si>
  <si>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</si>
  <si>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</si>
  <si>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</si>
  <si>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</si>
  <si>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</si>
  <si>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</si>
  <si>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</si>
  <si>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</si>
  <si>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</si>
  <si>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</si>
  <si>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</si>
  <si>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</si>
  <si>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</si>
  <si>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</si>
  <si>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</si>
  <si>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</si>
  <si>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</si>
  <si>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</si>
  <si>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</si>
  <si>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</si>
  <si>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</si>
  <si>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</si>
  <si>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</si>
  <si>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</si>
  <si>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</si>
  <si>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</si>
  <si>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</si>
  <si>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</si>
  <si>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</si>
  <si>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</si>
  <si>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</si>
  <si>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</si>
  <si>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</si>
  <si>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</si>
  <si>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</si>
  <si>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</si>
  <si>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</si>
  <si>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</si>
  <si>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</si>
  <si>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</si>
  <si>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</si>
  <si>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</si>
  <si>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</si>
  <si>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</si>
  <si>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</si>
  <si>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</si>
  <si>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</si>
  <si>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</si>
  <si>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</si>
  <si>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</si>
  <si>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</si>
  <si>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</si>
  <si>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</si>
  <si>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</si>
  <si>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</si>
  <si>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</si>
  <si>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</si>
  <si>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</si>
  <si>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</si>
  <si>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</si>
  <si>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</si>
  <si>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</si>
  <si>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</si>
  <si>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</si>
  <si>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</si>
  <si>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</si>
  <si>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</si>
  <si>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</si>
  <si>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</si>
  <si>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</si>
  <si>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</si>
  <si>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</si>
  <si>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</si>
  <si>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</si>
  <si>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</si>
  <si>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</si>
  <si>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</si>
  <si>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</si>
  <si>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</si>
  <si>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</si>
  <si>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</si>
  <si>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</si>
  <si>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</si>
  <si>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</si>
  <si>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</si>
  <si>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</si>
  <si>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</si>
  <si>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</si>
  <si>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</si>
  <si>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</si>
  <si>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</si>
  <si>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</si>
  <si>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</si>
  <si>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</si>
  <si>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</si>
  <si>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</si>
  <si>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</si>
  <si>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</si>
  <si>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</si>
  <si>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</si>
  <si>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</si>
  <si>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</si>
  <si>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</si>
  <si>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</si>
  <si>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</si>
  <si>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</si>
  <si>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</si>
  <si>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</si>
  <si>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</si>
  <si>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</si>
  <si>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</si>
  <si>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</si>
  <si>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</si>
  <si>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</si>
  <si>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</si>
  <si>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</si>
  <si>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</si>
  <si>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</si>
  <si>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</si>
  <si>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</si>
  <si>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</si>
  <si>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</si>
  <si>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</si>
  <si>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</si>
  <si>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</si>
  <si>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</si>
  <si>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</si>
  <si>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</si>
  <si>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</si>
  <si>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</si>
  <si>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</si>
  <si>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</si>
  <si>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</si>
  <si>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</si>
  <si>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</si>
  <si>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</si>
  <si>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</si>
  <si>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</si>
  <si>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</si>
  <si>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</si>
  <si>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</si>
  <si>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</si>
  <si>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</si>
  <si>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</si>
  <si>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</si>
  <si>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</si>
  <si>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</si>
  <si>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</si>
  <si>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</si>
  <si>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</si>
  <si>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</si>
  <si>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</si>
  <si>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</si>
  <si>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</si>
  <si>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</si>
  <si>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</si>
  <si>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</si>
  <si>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</si>
  <si>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</si>
  <si>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</si>
  <si>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</si>
  <si>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</si>
  <si>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</si>
  <si>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</si>
  <si>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</si>
  <si>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</si>
  <si>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</si>
  <si>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</si>
  <si>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</si>
  <si>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</si>
  <si>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</si>
  <si>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</si>
  <si>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</si>
  <si>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</si>
  <si>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</si>
  <si>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</si>
  <si>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</si>
  <si>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</si>
  <si>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</si>
  <si>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</si>
  <si>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</si>
  <si>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</si>
  <si>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</si>
  <si>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</si>
  <si>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</si>
  <si>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</si>
  <si>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</si>
  <si>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</si>
  <si>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</si>
  <si>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</si>
  <si>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</si>
  <si>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</si>
  <si>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</si>
  <si>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</si>
  <si>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</si>
  <si>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</si>
  <si>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</si>
  <si>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</si>
  <si>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</si>
  <si>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</si>
  <si>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</si>
  <si>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</si>
  <si>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</si>
  <si>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</si>
  <si>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</si>
  <si>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</si>
  <si>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</si>
  <si>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</si>
  <si>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</si>
  <si>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</si>
  <si>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</si>
  <si>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</si>
  <si>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</si>
  <si>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</si>
  <si>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</si>
  <si>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</si>
  <si>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</si>
  <si>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</si>
  <si>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</si>
  <si>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</si>
  <si>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</si>
  <si>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</si>
  <si>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</si>
  <si>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</si>
  <si>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</si>
  <si>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</si>
  <si>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</si>
  <si>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</si>
  <si>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</si>
  <si>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</si>
  <si>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</si>
  <si>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</si>
  <si>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</si>
  <si>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</si>
  <si>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</si>
  <si>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</si>
  <si>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</si>
  <si>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</si>
  <si>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</si>
  <si>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</si>
  <si>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</si>
  <si>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</si>
  <si>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</si>
  <si>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</si>
  <si>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</si>
  <si>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</si>
  <si>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</si>
  <si>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</si>
  <si>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</si>
  <si>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</si>
  <si>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</si>
  <si>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</si>
  <si>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</si>
  <si>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</si>
  <si>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</si>
  <si>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</si>
  <si>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</si>
  <si>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</si>
  <si>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</si>
  <si>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</si>
  <si>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</si>
  <si>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</si>
  <si>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</si>
  <si>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</si>
  <si>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</si>
  <si>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</si>
  <si>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</si>
  <si>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</si>
  <si>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</si>
  <si>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</si>
  <si>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</si>
  <si>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</si>
  <si>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</si>
  <si>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</si>
  <si>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</si>
  <si>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</si>
  <si>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</si>
  <si>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</si>
  <si>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</si>
  <si>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</si>
  <si>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</si>
  <si>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</si>
  <si>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</si>
  <si>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</si>
  <si>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</si>
  <si>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</si>
  <si>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</si>
  <si>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</si>
  <si>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</si>
  <si>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</si>
  <si>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</si>
  <si>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</si>
  <si>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</si>
  <si>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</si>
  <si>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</si>
  <si>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</si>
  <si>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</si>
  <si>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</si>
  <si>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</si>
  <si>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</si>
  <si>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</si>
  <si>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</si>
  <si>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</si>
  <si>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</si>
  <si>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</si>
  <si>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</si>
  <si>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</si>
  <si>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</si>
  <si>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</si>
  <si>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</si>
  <si>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</si>
  <si>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</si>
  <si>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</si>
  <si>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</si>
  <si>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</si>
  <si>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</si>
  <si>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</si>
  <si>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</si>
  <si>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</si>
  <si>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</si>
  <si>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</si>
  <si>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</si>
  <si>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</si>
  <si>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</si>
  <si>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</si>
  <si>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</si>
  <si>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</si>
  <si>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</si>
  <si>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</si>
  <si>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</si>
  <si>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</si>
  <si>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</si>
  <si>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</si>
  <si>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</si>
  <si>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</si>
  <si>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</si>
  <si>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</si>
  <si>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</si>
  <si>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</si>
  <si>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</si>
  <si>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</si>
  <si>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</si>
  <si>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</si>
  <si>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</si>
  <si>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</si>
  <si>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</si>
  <si>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</si>
  <si>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</si>
  <si>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</si>
  <si>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</si>
  <si>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</si>
  <si>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</si>
  <si>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</si>
  <si>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</si>
  <si>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</si>
  <si>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</si>
  <si>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</si>
  <si>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</si>
  <si>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</si>
  <si>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</si>
  <si>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</si>
  <si>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</si>
  <si>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</si>
  <si>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</si>
  <si>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</si>
  <si>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</si>
  <si>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</si>
  <si>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</si>
  <si>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</si>
  <si>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</si>
  <si>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</si>
  <si>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</si>
  <si>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</si>
  <si>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</si>
  <si>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</si>
  <si>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</si>
  <si>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</si>
  <si>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</si>
  <si>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</si>
  <si>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</si>
  <si>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</si>
  <si>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</si>
  <si>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</si>
  <si>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</si>
  <si>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</si>
  <si>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</si>
  <si>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</si>
  <si>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</si>
  <si>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</si>
  <si>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</si>
  <si>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</si>
  <si>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</si>
  <si>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</si>
  <si>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</si>
  <si>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</si>
  <si>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</si>
  <si>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</si>
  <si>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</si>
  <si>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</si>
  <si>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</si>
  <si>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</si>
  <si>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</si>
  <si>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</si>
  <si>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</si>
  <si>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</si>
  <si>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</si>
  <si>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</si>
  <si>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</si>
  <si>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</si>
  <si>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</si>
  <si>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</si>
  <si>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</si>
  <si>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</si>
  <si>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</si>
  <si>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</si>
  <si>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</si>
  <si>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</si>
  <si>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</si>
  <si>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</si>
  <si>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</si>
  <si>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</si>
  <si>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</si>
  <si>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</si>
  <si>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</si>
  <si>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</si>
  <si>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</si>
  <si>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</si>
  <si>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</si>
  <si>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</si>
  <si>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</si>
  <si>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</si>
  <si>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</si>
  <si>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</si>
  <si>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</si>
  <si>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</si>
  <si>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</si>
  <si>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</si>
  <si>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</si>
  <si>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</si>
  <si>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</si>
  <si>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</si>
  <si>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</si>
  <si>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</si>
  <si>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</si>
  <si>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</si>
  <si>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</si>
  <si>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</si>
  <si>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</si>
  <si>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</si>
  <si>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</si>
  <si>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</si>
  <si>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</si>
  <si>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</si>
  <si>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</si>
  <si>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</si>
  <si>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</si>
  <si>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</si>
  <si>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</si>
  <si>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</si>
  <si>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</si>
  <si>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</si>
  <si>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</si>
  <si>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</si>
  <si>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</si>
  <si>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</si>
  <si>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</si>
  <si>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</si>
  <si>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</si>
  <si>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</si>
  <si>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</si>
  <si>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</si>
  <si>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</si>
  <si>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</si>
  <si>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</si>
  <si>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</si>
  <si>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</si>
  <si>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</si>
  <si>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</si>
  <si>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</si>
  <si>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</si>
  <si>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</si>
  <si>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</si>
  <si>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</si>
  <si>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</si>
  <si>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</si>
  <si>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</si>
  <si>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</si>
  <si>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</si>
  <si>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</si>
  <si>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</si>
  <si>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</si>
  <si>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</si>
  <si>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</si>
  <si>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</si>
  <si>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</si>
  <si>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</si>
  <si>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</si>
  <si>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</si>
  <si>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</si>
  <si>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</si>
  <si>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</si>
  <si>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</si>
  <si>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</si>
  <si>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</si>
  <si>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</si>
  <si>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</si>
  <si>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</si>
  <si>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</si>
  <si>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</si>
  <si>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</si>
  <si>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</si>
  <si>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</si>
  <si>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</si>
  <si>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</si>
  <si>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</si>
  <si>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</si>
  <si>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</si>
  <si>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</si>
  <si>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</si>
  <si>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</si>
  <si>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</si>
  <si>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</si>
  <si>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</si>
  <si>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</si>
  <si>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</si>
  <si>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</si>
  <si>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</si>
  <si>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</si>
  <si>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</si>
  <si>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</si>
  <si>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</si>
  <si>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</si>
  <si>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</si>
  <si>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</si>
  <si>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</si>
  <si>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</si>
  <si>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</si>
  <si>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</si>
  <si>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</si>
  <si>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</si>
  <si>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</si>
  <si>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</si>
  <si>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</si>
  <si>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</si>
  <si>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</si>
  <si>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</si>
  <si>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</si>
  <si>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</si>
  <si>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</si>
  <si>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</si>
  <si>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</si>
  <si>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</si>
  <si>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</si>
  <si>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</si>
  <si>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</si>
  <si>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</si>
  <si>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</si>
  <si>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</si>
  <si>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</si>
  <si>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</si>
  <si>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</si>
  <si>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</si>
  <si>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</si>
  <si>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</si>
  <si>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</si>
  <si>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</si>
  <si>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</si>
  <si>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</si>
  <si>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</si>
  <si>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</si>
  <si>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</si>
  <si>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</si>
  <si>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</si>
  <si>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</si>
  <si>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</si>
  <si>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</si>
  <si>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</si>
  <si>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</si>
  <si>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</si>
  <si>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</si>
  <si>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</si>
  <si>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</si>
  <si>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</si>
  <si>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</si>
  <si>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</si>
  <si>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</si>
  <si>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</si>
  <si>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</si>
  <si>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</si>
  <si>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</si>
  <si>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</si>
  <si>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</si>
  <si>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</si>
  <si>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</si>
  <si>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</si>
  <si>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</si>
  <si>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</si>
  <si>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</si>
  <si>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</si>
  <si>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</si>
  <si>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</si>
  <si>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</si>
  <si>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</si>
  <si>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</si>
  <si>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</si>
  <si>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</si>
  <si>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</si>
  <si>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</si>
  <si>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</si>
  <si>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</si>
  <si>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</si>
  <si>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</si>
  <si>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</si>
  <si>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</si>
  <si>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</si>
  <si>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</si>
  <si>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</si>
  <si>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</si>
  <si>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</si>
  <si>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</si>
  <si>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</si>
  <si>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</si>
  <si>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</si>
  <si>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</si>
  <si>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</si>
  <si>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</si>
  <si>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</si>
  <si>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</si>
  <si>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</si>
  <si>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</si>
  <si>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</si>
  <si>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</si>
  <si>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</si>
  <si>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</si>
  <si>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</si>
  <si>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</si>
  <si>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</si>
  <si>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</si>
  <si>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</si>
  <si>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</si>
  <si>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</si>
  <si>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</si>
  <si>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</si>
  <si>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</si>
  <si>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</si>
  <si>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</si>
  <si>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</si>
  <si>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</si>
  <si>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</si>
  <si>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</si>
  <si>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</si>
  <si>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</si>
  <si>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</si>
  <si>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</si>
  <si>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</si>
  <si>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</si>
  <si>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</si>
  <si>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</si>
  <si>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</si>
  <si>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</si>
  <si>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</si>
  <si>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</si>
  <si>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</si>
  <si>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</si>
  <si>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</si>
  <si>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</si>
  <si>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</si>
  <si>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</si>
  <si>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</si>
  <si>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</si>
  <si>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</si>
  <si>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</si>
  <si>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</si>
  <si>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</si>
  <si>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</si>
  <si>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</si>
  <si>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</si>
  <si>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</si>
  <si>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</si>
  <si>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</si>
  <si>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</si>
  <si>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</si>
  <si>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</si>
  <si>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</si>
  <si>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</si>
  <si>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</si>
  <si>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</si>
  <si>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</si>
  <si>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</si>
  <si>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</si>
  <si>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</si>
  <si>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</si>
  <si>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</si>
  <si>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</si>
  <si>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</si>
  <si>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</si>
  <si>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</si>
  <si>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</si>
  <si>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</si>
  <si>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</si>
  <si>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</si>
  <si>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</si>
  <si>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</si>
  <si>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</si>
  <si>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</si>
  <si>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</si>
  <si>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</si>
  <si>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</si>
  <si>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</si>
  <si>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</si>
  <si>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</si>
  <si>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</si>
  <si>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</si>
  <si>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</si>
  <si>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</si>
  <si>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</si>
  <si>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</si>
  <si>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</si>
  <si>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</si>
  <si>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</si>
  <si>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</si>
  <si>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</si>
  <si>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</si>
  <si>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</si>
  <si>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</si>
  <si>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</si>
  <si>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</si>
  <si>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</si>
  <si>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</si>
  <si>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</si>
  <si>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</si>
  <si>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</si>
  <si>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</si>
  <si>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</si>
  <si>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</si>
  <si>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</si>
  <si>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</si>
  <si>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</si>
  <si>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</si>
  <si>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</si>
  <si>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</si>
  <si>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</si>
  <si>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</si>
  <si>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</si>
  <si>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</si>
  <si>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</si>
  <si>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</si>
  <si>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</si>
  <si>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</si>
  <si>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</si>
  <si>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</si>
  <si>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</si>
  <si>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</si>
  <si>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</si>
  <si>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</si>
  <si>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</si>
  <si>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</si>
  <si>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</si>
  <si>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</si>
  <si>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</si>
  <si>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</si>
  <si>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</si>
  <si>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</si>
  <si>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</si>
  <si>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</si>
  <si>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</si>
  <si>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</si>
  <si>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</si>
  <si>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</si>
  <si>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</si>
  <si>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</si>
  <si>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</si>
  <si>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</si>
  <si>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</si>
  <si>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</si>
  <si>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</si>
  <si>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</si>
  <si>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</si>
  <si>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</si>
  <si>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</si>
  <si>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</si>
  <si>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</si>
  <si>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</si>
  <si>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</si>
  <si>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</si>
  <si>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</si>
  <si>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</si>
  <si>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</si>
  <si>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</si>
  <si>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</si>
  <si>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</si>
  <si>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</si>
  <si>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</si>
  <si>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</si>
  <si>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</si>
  <si>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</si>
  <si>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</si>
  <si>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</si>
  <si>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</si>
  <si>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</si>
  <si>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</si>
  <si>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</si>
  <si>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</si>
  <si>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</si>
  <si>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</si>
  <si>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</si>
  <si>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</si>
  <si>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</si>
  <si>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</si>
  <si>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</si>
  <si>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</si>
  <si>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</si>
  <si>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</si>
  <si>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</si>
  <si>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</si>
  <si>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</si>
  <si>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</si>
  <si>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</si>
  <si>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</si>
  <si>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</si>
  <si>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</si>
  <si>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</si>
  <si>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</si>
  <si>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</si>
  <si>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</si>
  <si>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</si>
  <si>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</si>
  <si>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</si>
  <si>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</si>
  <si>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</si>
  <si>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</si>
  <si>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</si>
  <si>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</si>
  <si>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</si>
  <si>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</si>
  <si>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</si>
  <si>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</si>
  <si>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</si>
  <si>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</si>
  <si>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</si>
  <si>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</si>
  <si>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</si>
  <si>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</si>
  <si>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</si>
  <si>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</si>
  <si>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</si>
  <si>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</si>
  <si>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</si>
  <si>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</si>
  <si>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</si>
  <si>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</si>
  <si>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</si>
  <si>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</si>
  <si>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</si>
  <si>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</si>
  <si>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</si>
  <si>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</si>
  <si>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</si>
  <si>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</si>
  <si>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</si>
  <si>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</si>
  <si>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</si>
  <si>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</si>
  <si>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</si>
  <si>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</si>
  <si>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</si>
  <si>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</si>
  <si>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</si>
  <si>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</si>
  <si>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</si>
  <si>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</si>
  <si>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</si>
  <si>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</si>
  <si>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</si>
  <si>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</si>
  <si>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</si>
  <si>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</si>
  <si>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</si>
  <si>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</si>
  <si>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</si>
  <si>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</si>
  <si>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</si>
  <si>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</si>
  <si>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</si>
  <si>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</si>
  <si>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</si>
  <si>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</si>
  <si>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</si>
  <si>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</si>
  <si>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</si>
  <si>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</si>
  <si>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</si>
  <si>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</si>
  <si>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</si>
  <si>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</si>
  <si>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</si>
  <si>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</si>
  <si>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</si>
  <si>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</si>
  <si>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</si>
  <si>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</si>
  <si>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</si>
  <si>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</si>
  <si>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</si>
  <si>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</si>
  <si>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</si>
  <si>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</si>
  <si>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</si>
  <si>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</si>
  <si>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</si>
  <si>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</si>
  <si>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</si>
  <si>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</si>
  <si>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</si>
  <si>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</si>
  <si>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</si>
  <si>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</si>
  <si>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</si>
  <si>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</si>
  <si>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</si>
  <si>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</si>
  <si>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</si>
  <si>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</si>
  <si>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</si>
  <si>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</si>
  <si>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</si>
  <si>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</si>
  <si>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</si>
  <si>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</si>
  <si>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</si>
  <si>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</si>
  <si>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</si>
  <si>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</si>
  <si>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</si>
  <si>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</si>
  <si>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</si>
  <si>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</si>
  <si>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</si>
  <si>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</si>
  <si>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</si>
  <si>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</si>
  <si>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</si>
  <si>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</si>
  <si>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</si>
  <si>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</si>
  <si>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</si>
  <si>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</si>
  <si>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</si>
  <si>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</si>
  <si>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</si>
  <si>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</si>
  <si>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</si>
  <si>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</si>
  <si>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</si>
  <si>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</si>
  <si>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</si>
  <si>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</si>
  <si>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</si>
  <si>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</si>
  <si>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</si>
  <si>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</si>
  <si>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</si>
  <si>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</si>
  <si>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</si>
  <si>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</si>
  <si>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</si>
  <si>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</si>
  <si>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</si>
  <si>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</si>
  <si>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</si>
  <si>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</si>
  <si>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</si>
  <si>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</si>
  <si>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</si>
  <si>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</si>
  <si>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</si>
  <si>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</si>
  <si>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</si>
  <si>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</si>
  <si>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</si>
  <si>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</si>
  <si>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</si>
  <si>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</si>
  <si>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</si>
  <si>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</si>
  <si>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</si>
  <si>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</si>
  <si>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</si>
  <si>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</si>
  <si>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</si>
  <si>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</si>
  <si>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</si>
  <si>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</si>
  <si>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</si>
  <si>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</si>
  <si>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</si>
  <si>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</si>
  <si>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</si>
  <si>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</si>
  <si>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</si>
  <si>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</si>
  <si>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</si>
  <si>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</si>
  <si>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</si>
  <si>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</si>
  <si>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</si>
  <si>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</si>
  <si>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</si>
  <si>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</si>
  <si>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</si>
  <si>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</si>
  <si>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</si>
  <si>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</si>
  <si>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</si>
  <si>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</si>
  <si>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</si>
  <si>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</si>
  <si>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</si>
  <si>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</si>
  <si>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</si>
  <si>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</si>
  <si>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</si>
  <si>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</si>
  <si>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</si>
  <si>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</si>
  <si>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</si>
  <si>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</si>
  <si>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</si>
  <si>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</si>
  <si>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</si>
  <si>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</si>
  <si>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</si>
  <si>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</si>
  <si>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</si>
  <si>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</si>
  <si>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</si>
  <si>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</si>
  <si>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</si>
  <si>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</si>
  <si>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</si>
  <si>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</si>
  <si>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</si>
  <si>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</si>
  <si>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</si>
  <si>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</si>
  <si>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</si>
  <si>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</si>
  <si>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</si>
  <si>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</si>
  <si>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</si>
  <si>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</si>
  <si>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</si>
  <si>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</si>
  <si>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</si>
  <si>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</si>
  <si>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</si>
  <si>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</si>
  <si>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</si>
  <si>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</si>
  <si>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</si>
  <si>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</si>
  <si>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</si>
  <si>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</si>
  <si>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</si>
  <si>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</si>
  <si>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</si>
  <si>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</si>
  <si>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</si>
  <si>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</si>
  <si>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</si>
  <si>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</si>
  <si>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</si>
  <si>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</si>
  <si>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</si>
  <si>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</si>
  <si>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</si>
  <si>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</si>
  <si>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</si>
  <si>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</si>
  <si>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</si>
  <si>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</si>
  <si>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</si>
  <si>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</si>
  <si>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</si>
  <si>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</si>
  <si>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</si>
  <si>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</si>
  <si>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</si>
  <si>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</si>
  <si>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</si>
  <si>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</si>
  <si>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</si>
  <si>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</si>
  <si>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</si>
  <si>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</si>
  <si>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</si>
  <si>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</si>
  <si>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</si>
  <si>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</si>
  <si>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</si>
  <si>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</si>
  <si>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</si>
  <si>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</si>
  <si>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</si>
  <si>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</si>
  <si>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</si>
  <si>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</si>
  <si>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</si>
  <si>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</si>
  <si>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</si>
  <si>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</si>
  <si>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</si>
  <si>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</si>
  <si>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</si>
  <si>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</si>
  <si>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</si>
  <si>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</si>
  <si>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</si>
  <si>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</si>
  <si>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</si>
  <si>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</si>
  <si>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</si>
  <si>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</si>
  <si>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</si>
  <si>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</si>
  <si>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</si>
  <si>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</si>
  <si>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</si>
  <si>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</si>
  <si>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</si>
  <si>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</si>
  <si>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</si>
  <si>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</si>
  <si>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</si>
  <si>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</si>
  <si>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</si>
  <si>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</si>
  <si>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</si>
  <si>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</si>
  <si>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</si>
  <si>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</si>
  <si>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</si>
  <si>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</si>
  <si>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</si>
  <si>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</si>
  <si>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</si>
  <si>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</si>
  <si>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</si>
  <si>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</si>
  <si>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</si>
  <si>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</si>
  <si>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</si>
  <si>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</si>
  <si>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</si>
  <si>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</si>
  <si>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</si>
  <si>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</si>
  <si>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</si>
  <si>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</si>
  <si>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</si>
  <si>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</si>
  <si>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</si>
  <si>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</si>
  <si>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</si>
  <si>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</si>
  <si>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</si>
  <si>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</si>
  <si>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</si>
  <si>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</si>
  <si>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</si>
  <si>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</si>
  <si>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</si>
  <si>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</si>
  <si>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</si>
  <si>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</si>
  <si>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</si>
  <si>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</si>
  <si>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</si>
  <si>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</si>
  <si>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</si>
  <si>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</si>
  <si>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</si>
  <si>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</si>
  <si>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</si>
  <si>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</si>
  <si>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</si>
  <si>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</si>
  <si>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</si>
  <si>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</si>
  <si>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</si>
  <si>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</si>
  <si>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</si>
  <si>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</si>
  <si>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</si>
  <si>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</si>
  <si>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</si>
  <si>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</si>
  <si>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</si>
  <si>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</si>
  <si>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</si>
  <si>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</si>
  <si>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</si>
  <si>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</si>
  <si>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</si>
  <si>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</si>
  <si>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</si>
  <si>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</si>
  <si>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</si>
  <si>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</si>
  <si>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</si>
  <si>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</si>
  <si>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</si>
  <si>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</si>
  <si>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</si>
  <si>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</si>
  <si>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</si>
  <si>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</si>
  <si>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</si>
  <si>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</si>
  <si>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</si>
  <si>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</si>
  <si>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</si>
  <si>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</si>
  <si>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</si>
  <si>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</si>
  <si>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</si>
  <si>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</si>
  <si>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</si>
  <si>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</si>
  <si>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</si>
  <si>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</si>
  <si>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</si>
  <si>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</si>
  <si>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</si>
  <si>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</si>
  <si>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</si>
  <si>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</si>
  <si>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</si>
  <si>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</si>
  <si>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</si>
  <si>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</si>
  <si>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</si>
  <si>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</si>
  <si>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</si>
  <si>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</si>
  <si>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</si>
  <si>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</si>
  <si>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</si>
  <si>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</si>
  <si>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</si>
  <si>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</si>
  <si>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</si>
  <si>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</si>
  <si>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</si>
  <si>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</si>
  <si>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</si>
  <si>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</si>
  <si>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</si>
  <si>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</si>
  <si>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</si>
  <si>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</si>
  <si>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</si>
  <si>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</si>
  <si>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</si>
  <si>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</si>
  <si>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</si>
  <si>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</si>
  <si>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</si>
  <si>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</si>
  <si>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</si>
  <si>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</si>
  <si>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</si>
  <si>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</si>
  <si>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</si>
  <si>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</si>
  <si>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</si>
  <si>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</si>
  <si>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</si>
  <si>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</si>
  <si>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</si>
  <si>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</si>
  <si>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</si>
  <si>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</si>
  <si>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</si>
  <si>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</si>
  <si>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</si>
  <si>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</si>
  <si>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</si>
  <si>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</si>
  <si>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</si>
  <si>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</si>
  <si>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</si>
  <si>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</si>
  <si>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</si>
  <si>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</si>
  <si>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</si>
  <si>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</si>
  <si>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</si>
  <si>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</si>
  <si>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</si>
  <si>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</si>
  <si>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</si>
  <si>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</si>
  <si>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</si>
  <si>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</si>
  <si>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</si>
  <si>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</si>
  <si>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</si>
  <si>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</si>
  <si>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</si>
  <si>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</si>
  <si>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</si>
  <si>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</si>
  <si>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</si>
  <si>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</si>
  <si>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</si>
  <si>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</si>
  <si>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</si>
  <si>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</si>
  <si>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</si>
  <si>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</si>
  <si>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</si>
  <si>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</si>
  <si>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</si>
  <si>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</si>
  <si>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</si>
  <si>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</si>
  <si>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</si>
  <si>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</si>
  <si>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</si>
  <si>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</si>
  <si>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</si>
  <si>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</si>
  <si>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</si>
  <si>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</si>
  <si>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</si>
  <si>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</si>
  <si>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</si>
  <si>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</si>
  <si>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</si>
  <si>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</si>
  <si>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</si>
  <si>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</si>
  <si>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</si>
  <si>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</si>
  <si>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</si>
  <si>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</si>
  <si>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</si>
  <si>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</si>
  <si>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</si>
  <si>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</si>
  <si>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</si>
  <si>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</si>
  <si>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</si>
  <si>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</si>
  <si>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</si>
  <si>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</si>
  <si>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</si>
  <si>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</si>
  <si>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</si>
  <si>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</si>
  <si>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</si>
  <si>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</si>
  <si>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</si>
  <si>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</si>
  <si>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</si>
  <si>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</si>
  <si>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</si>
  <si>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</si>
  <si>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</si>
  <si>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</si>
  <si>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</si>
  <si>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</si>
  <si>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</si>
  <si>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</si>
  <si>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</si>
  <si>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</si>
  <si>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</si>
  <si>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</si>
  <si>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</si>
  <si>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</si>
  <si>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</si>
  <si>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</si>
  <si>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</si>
  <si>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</si>
  <si>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</si>
  <si>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</si>
  <si>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</si>
  <si>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</si>
  <si>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</si>
  <si>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</si>
  <si>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</si>
  <si>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</si>
  <si>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</si>
  <si>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</si>
  <si>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</si>
  <si>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</si>
  <si>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</si>
  <si>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</si>
  <si>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</si>
  <si>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</si>
  <si>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</si>
  <si>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</si>
  <si>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</si>
  <si>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</si>
  <si>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</si>
  <si>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</si>
  <si>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</si>
  <si>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</si>
  <si>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</si>
  <si>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</si>
  <si>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</si>
  <si>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</si>
  <si>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</si>
  <si>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</si>
  <si>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</si>
  <si>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</si>
  <si>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</si>
  <si>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</si>
  <si>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</si>
  <si>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</si>
  <si>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</si>
  <si>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</si>
  <si>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</si>
  <si>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</si>
  <si>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</si>
  <si>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</si>
  <si>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</si>
  <si>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</si>
  <si>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</si>
  <si>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</si>
  <si>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</si>
  <si>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</si>
  <si>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</si>
  <si>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</si>
  <si>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</si>
  <si>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</si>
  <si>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</si>
  <si>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</si>
  <si>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</si>
  <si>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</si>
  <si>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</si>
  <si>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</si>
  <si>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</si>
  <si>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</si>
  <si>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</si>
  <si>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</si>
  <si>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</si>
  <si>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</si>
  <si>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</si>
  <si>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</si>
  <si>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</si>
  <si>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</si>
  <si>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</si>
  <si>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</si>
  <si>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</si>
  <si>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</si>
  <si>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</si>
  <si>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</si>
  <si>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</si>
  <si>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</si>
  <si>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</si>
  <si>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</si>
  <si>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</si>
  <si>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</si>
  <si>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</si>
  <si>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</si>
  <si>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</si>
  <si>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</si>
  <si>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</si>
  <si>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</si>
  <si>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</si>
  <si>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</si>
  <si>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</si>
  <si>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</si>
  <si>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</si>
  <si>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</si>
  <si>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</si>
  <si>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</si>
  <si>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</si>
  <si>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</si>
  <si>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</si>
  <si>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</si>
  <si>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</si>
  <si>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</si>
  <si>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</si>
  <si>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</si>
  <si>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</si>
  <si>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</si>
  <si>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</si>
  <si>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</si>
  <si>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</si>
  <si>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</si>
  <si>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</si>
  <si>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</si>
  <si>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</si>
  <si>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</si>
  <si>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</si>
  <si>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</si>
  <si>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</si>
  <si>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</si>
  <si>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</si>
  <si>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</si>
  <si>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</si>
  <si>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</si>
  <si>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</si>
  <si>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</si>
  <si>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</si>
  <si>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</si>
  <si>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</si>
  <si>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</si>
  <si>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</si>
  <si>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</si>
  <si>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</si>
  <si>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</si>
  <si>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</si>
  <si>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</si>
  <si>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</si>
  <si>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</si>
  <si>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</si>
  <si>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</si>
  <si>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</si>
  <si>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</si>
  <si>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</si>
  <si>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</si>
  <si>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</si>
  <si>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</si>
  <si>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</si>
  <si>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</si>
  <si>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</si>
  <si>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</si>
  <si>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</si>
  <si>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</si>
  <si>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</si>
  <si>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</si>
  <si>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</si>
  <si>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</si>
  <si>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</si>
  <si>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</si>
  <si>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</si>
  <si>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</si>
  <si>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</si>
  <si>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</si>
  <si>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</si>
  <si>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</si>
  <si>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</si>
  <si>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</si>
  <si>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</si>
  <si>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</si>
  <si>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</si>
  <si>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</si>
  <si>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</si>
  <si>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</si>
  <si>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</si>
  <si>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</si>
  <si>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</si>
  <si>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</si>
  <si>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</si>
  <si>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</si>
  <si>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</si>
  <si>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</si>
  <si>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</si>
  <si>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</si>
  <si>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</si>
  <si>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</si>
  <si>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</si>
  <si>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</si>
  <si>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</si>
  <si>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</si>
  <si>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</si>
  <si>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</si>
  <si>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</si>
  <si>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</si>
  <si>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</si>
  <si>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</si>
  <si>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</si>
  <si>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</si>
  <si>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</si>
  <si>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</si>
  <si>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</si>
  <si>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</si>
  <si>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</si>
  <si>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</si>
  <si>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</si>
  <si>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</si>
  <si>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</si>
  <si>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</si>
  <si>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</si>
  <si>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</si>
  <si>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</si>
  <si>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</si>
  <si>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</si>
  <si>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</si>
  <si>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</si>
  <si>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</si>
  <si>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</si>
  <si>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</si>
  <si>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</si>
  <si>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</si>
  <si>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</si>
  <si>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</si>
  <si>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</si>
  <si>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</si>
  <si>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</si>
  <si>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</si>
  <si>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</si>
  <si>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</si>
  <si>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</si>
  <si>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</si>
  <si>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</si>
  <si>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</si>
  <si>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</si>
  <si>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</si>
  <si>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</si>
  <si>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</si>
  <si>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</si>
  <si>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</si>
  <si>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</si>
  <si>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</si>
  <si>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</si>
  <si>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</si>
  <si>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</si>
  <si>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</si>
  <si>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</si>
  <si>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</si>
  <si>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</si>
  <si>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</si>
  <si>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</si>
  <si>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</si>
  <si>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</si>
  <si>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</si>
  <si>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</si>
  <si>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</si>
  <si>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</si>
  <si>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</si>
  <si>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</si>
  <si>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</si>
  <si>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</si>
  <si>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</si>
  <si>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</si>
  <si>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</si>
  <si>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</si>
  <si>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</si>
  <si>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</si>
  <si>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</si>
  <si>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</si>
  <si>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</si>
  <si>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</si>
  <si>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</si>
  <si>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</si>
  <si>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</si>
  <si>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</si>
  <si>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</si>
  <si>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</si>
  <si>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</si>
  <si>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</si>
  <si>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</si>
  <si>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</si>
  <si>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</si>
  <si>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</si>
  <si>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</si>
  <si>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</si>
  <si>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</si>
  <si>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</si>
  <si>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</si>
  <si>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</si>
  <si>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</si>
  <si>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</si>
  <si>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</si>
  <si>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</si>
  <si>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</si>
  <si>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</si>
  <si>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</si>
  <si>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</si>
  <si>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</si>
  <si>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</si>
  <si>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</si>
  <si>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</si>
  <si>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</si>
  <si>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</si>
  <si>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</si>
  <si>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</si>
  <si>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</si>
  <si>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</si>
  <si>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</si>
  <si>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</si>
  <si>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</si>
  <si>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</si>
  <si>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</si>
  <si>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</si>
  <si>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</si>
  <si>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</si>
  <si>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</si>
  <si>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</si>
  <si>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</si>
  <si>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</si>
  <si>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</si>
  <si>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</si>
  <si>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</si>
  <si>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</si>
  <si>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</si>
  <si>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</si>
  <si>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</si>
  <si>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</si>
  <si>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</si>
  <si>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</si>
  <si>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</si>
  <si>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</si>
  <si>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</si>
  <si>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</si>
  <si>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</si>
  <si>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</si>
  <si>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</si>
  <si>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</si>
  <si>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</si>
  <si>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</si>
  <si>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</si>
  <si>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</si>
  <si>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</si>
  <si>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</si>
  <si>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</si>
  <si>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</si>
  <si>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</si>
  <si>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</si>
  <si>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</si>
  <si>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</si>
  <si>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</si>
  <si>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</si>
  <si>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</si>
  <si>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</si>
  <si>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</si>
  <si>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</si>
  <si>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</si>
  <si>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</si>
  <si>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</si>
  <si>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</si>
  <si>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</si>
  <si>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</si>
  <si>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</si>
  <si>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</si>
  <si>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</si>
  <si>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</si>
  <si>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</si>
  <si>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</si>
  <si>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</si>
  <si>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</si>
  <si>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</si>
  <si>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</si>
  <si>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</si>
  <si>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</si>
  <si>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</si>
  <si>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</si>
  <si>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</si>
  <si>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</si>
  <si>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</si>
  <si>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</si>
  <si>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</si>
  <si>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</si>
  <si>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</si>
  <si>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</si>
  <si>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</si>
  <si>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</si>
  <si>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</si>
  <si>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</si>
  <si>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</si>
  <si>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</si>
  <si>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</si>
  <si>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</si>
  <si>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</si>
  <si>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</si>
  <si>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</si>
  <si>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</si>
  <si>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</si>
  <si>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</si>
  <si>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</si>
  <si>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</si>
  <si>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</si>
  <si>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</si>
  <si>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</si>
  <si>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</si>
  <si>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</si>
  <si>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</si>
  <si>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</si>
  <si>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</si>
  <si>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</si>
  <si>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</si>
  <si>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</si>
  <si>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</si>
  <si>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</si>
  <si>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</si>
  <si>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</si>
  <si>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</si>
  <si>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</si>
  <si>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</si>
  <si>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</si>
  <si>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</si>
  <si>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</si>
  <si>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</si>
  <si>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</si>
  <si>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</si>
  <si>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</si>
  <si>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</si>
  <si>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</si>
  <si>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</si>
  <si>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</si>
  <si>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</si>
  <si>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</si>
  <si>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</si>
  <si>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</si>
  <si>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</si>
  <si>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</si>
  <si>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</si>
  <si>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</si>
  <si>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</si>
  <si>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</si>
  <si>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</si>
  <si>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</si>
  <si>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</si>
  <si>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</si>
  <si>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</si>
  <si>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</si>
  <si>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</si>
  <si>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</si>
  <si>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</si>
  <si>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</si>
  <si>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</si>
  <si>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</si>
  <si>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</si>
  <si>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</si>
  <si>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</si>
  <si>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</si>
  <si>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</si>
  <si>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</si>
  <si>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</si>
  <si>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</si>
  <si>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</si>
  <si>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</si>
  <si>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</si>
  <si>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</si>
  <si>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</si>
  <si>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</si>
  <si>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</si>
  <si>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</si>
  <si>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</si>
  <si>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</si>
  <si>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</si>
  <si>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</si>
  <si>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</si>
  <si>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</si>
  <si>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</si>
  <si>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</si>
  <si>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</si>
  <si>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</si>
  <si>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</si>
  <si>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</si>
  <si>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</si>
  <si>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</si>
  <si>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</si>
  <si>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</si>
  <si>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</si>
  <si>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</si>
  <si>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</si>
  <si>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</si>
  <si>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</si>
  <si>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</si>
  <si>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</si>
  <si>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</si>
  <si>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</si>
  <si>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</si>
  <si>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</si>
  <si>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</si>
  <si>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</si>
  <si>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</si>
  <si>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</si>
  <si>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</si>
  <si>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</si>
  <si>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</si>
  <si>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</si>
  <si>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</si>
  <si>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</si>
  <si>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</si>
  <si>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</si>
  <si>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</si>
  <si>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</si>
  <si>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</si>
  <si>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</si>
  <si>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</si>
  <si>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</si>
  <si>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</si>
  <si>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</si>
  <si>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</si>
  <si>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</si>
  <si>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</si>
  <si>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</si>
  <si>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</si>
  <si>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</si>
  <si>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</si>
  <si>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</si>
  <si>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</si>
  <si>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</si>
  <si>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</si>
  <si>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</si>
  <si>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</si>
  <si>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</si>
  <si>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</si>
  <si>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</si>
  <si>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</si>
  <si>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</si>
  <si>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</si>
  <si>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</si>
  <si>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</si>
  <si>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</si>
  <si>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</si>
  <si>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</si>
  <si>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</si>
  <si>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</si>
  <si>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</si>
  <si>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</si>
  <si>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</si>
  <si>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</si>
  <si>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</si>
  <si>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</si>
  <si>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</si>
  <si>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</si>
  <si>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</si>
  <si>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</si>
  <si>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</si>
  <si>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</si>
  <si>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</si>
  <si>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</si>
  <si>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</si>
  <si>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</si>
  <si>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</si>
  <si>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</si>
  <si>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</si>
  <si>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</si>
  <si>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</si>
  <si>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</si>
  <si>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</si>
  <si>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</si>
  <si>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</si>
  <si>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</si>
  <si>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</si>
  <si>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</si>
  <si>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</si>
  <si>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</si>
  <si>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</si>
  <si>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</si>
  <si>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</si>
  <si>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</si>
  <si>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</si>
  <si>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</si>
  <si>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</si>
  <si>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</si>
  <si>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</si>
  <si>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</si>
  <si>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</si>
  <si>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</si>
  <si>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</si>
  <si>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</si>
  <si>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</si>
  <si>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</si>
  <si>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</si>
  <si>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</si>
  <si>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</si>
  <si>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</si>
  <si>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</si>
  <si>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</si>
  <si>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</si>
  <si>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</si>
  <si>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</si>
  <si>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</si>
  <si>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</si>
  <si>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</si>
  <si>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</si>
  <si>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</si>
  <si>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</si>
  <si>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</si>
  <si>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</si>
  <si>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</si>
  <si>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</si>
  <si>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</si>
  <si>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</si>
  <si>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</si>
  <si>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</si>
  <si>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</si>
  <si>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</si>
  <si>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</si>
  <si>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</si>
  <si>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</si>
  <si>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</si>
  <si>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</si>
  <si>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</si>
  <si>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</si>
  <si>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</si>
  <si>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</si>
  <si>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</si>
  <si>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</si>
  <si>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</si>
  <si>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</si>
  <si>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</si>
  <si>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</si>
  <si>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</si>
  <si>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</si>
  <si>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</si>
  <si>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</si>
  <si>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</si>
  <si>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</si>
  <si>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</si>
  <si>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</si>
  <si>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</si>
  <si>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</si>
  <si>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</si>
  <si>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</si>
  <si>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</si>
  <si>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</si>
  <si>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</si>
  <si>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</si>
  <si>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</si>
  <si>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</si>
  <si>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</si>
  <si>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</si>
  <si>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</si>
  <si>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</si>
  <si>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</si>
  <si>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</si>
  <si>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</si>
  <si>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</si>
  <si>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</si>
  <si>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</si>
  <si>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</si>
  <si>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</si>
  <si>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</si>
  <si>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</si>
  <si>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</si>
  <si>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</si>
  <si>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</si>
  <si>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</si>
  <si>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</si>
  <si>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</si>
  <si>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</si>
  <si>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</si>
  <si>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</si>
  <si>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</si>
  <si>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</si>
  <si>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</si>
  <si>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</si>
  <si>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</si>
  <si>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</si>
  <si>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</si>
  <si>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</si>
  <si>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</si>
  <si>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</si>
  <si>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</si>
  <si>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</si>
  <si>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</si>
  <si>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</si>
  <si>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</si>
  <si>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</si>
  <si>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</si>
  <si>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</si>
  <si>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</si>
  <si>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</si>
  <si>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</si>
  <si>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</si>
  <si>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</si>
  <si>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</si>
  <si>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</si>
  <si>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</si>
  <si>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</si>
  <si>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</si>
  <si>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</si>
  <si>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</si>
  <si>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</si>
  <si>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</si>
  <si>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</si>
  <si>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</si>
  <si>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</si>
  <si>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</si>
  <si>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</si>
  <si>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</si>
  <si>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</si>
  <si>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</si>
  <si>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</si>
  <si>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</si>
  <si>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</si>
  <si>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</si>
  <si>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</si>
  <si>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</si>
  <si>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</si>
  <si>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</si>
  <si>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</si>
  <si>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</si>
  <si>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</si>
  <si>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</si>
  <si>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</si>
  <si>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</si>
  <si>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</si>
  <si>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</si>
  <si>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</si>
  <si>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</si>
  <si>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</si>
  <si>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</si>
  <si>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</si>
  <si>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</si>
  <si>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</si>
  <si>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</si>
  <si>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</si>
  <si>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</si>
  <si>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</si>
  <si>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</si>
  <si>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</si>
  <si>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</si>
  <si>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</si>
  <si>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</si>
  <si>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</si>
  <si>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</si>
  <si>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</si>
  <si>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</si>
  <si>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</si>
  <si>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</si>
  <si>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</si>
  <si>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</si>
  <si>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</si>
  <si>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</si>
  <si>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</si>
  <si>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</si>
  <si>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</si>
  <si>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</si>
  <si>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</si>
  <si>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</si>
  <si>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</si>
  <si>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</si>
  <si>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</si>
  <si>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</si>
  <si>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</si>
  <si>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</si>
  <si>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</si>
  <si>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</si>
  <si>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</si>
  <si>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</si>
  <si>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</si>
  <si>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</si>
  <si>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</si>
  <si>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</si>
  <si>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</si>
  <si>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</si>
  <si>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</si>
  <si>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</si>
  <si>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</si>
  <si>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</si>
  <si>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</si>
  <si>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</si>
  <si>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</si>
  <si>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</si>
  <si>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</si>
  <si>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</si>
  <si>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</si>
  <si>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</si>
  <si>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</si>
  <si>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</si>
  <si>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</si>
  <si>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</si>
  <si>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</si>
  <si>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</si>
  <si>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</si>
  <si>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</si>
  <si>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</si>
  <si>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</si>
  <si>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</si>
  <si>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</si>
  <si>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</si>
  <si>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</si>
  <si>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</si>
  <si>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</si>
  <si>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</si>
  <si>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</si>
  <si>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</si>
  <si>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</si>
  <si>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</si>
  <si>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</si>
  <si>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</si>
  <si>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</si>
  <si>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</si>
  <si>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</si>
  <si>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</si>
  <si>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</si>
  <si>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</si>
  <si>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</si>
  <si>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</si>
  <si>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</si>
  <si>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</si>
  <si>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</si>
  <si>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</si>
  <si>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</si>
  <si>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</si>
  <si>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</si>
  <si>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</si>
  <si>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</si>
  <si>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</si>
  <si>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</si>
  <si>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</si>
  <si>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</si>
  <si>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</si>
  <si>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</si>
  <si>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</si>
  <si>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</si>
  <si>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</si>
  <si>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</si>
  <si>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</si>
  <si>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</si>
  <si>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</si>
  <si>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</si>
  <si>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</si>
  <si>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</si>
  <si>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</si>
  <si>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</si>
  <si>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</si>
  <si>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</si>
  <si>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</si>
  <si>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</si>
  <si>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</si>
  <si>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</si>
  <si>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</si>
  <si>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</si>
  <si>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</si>
  <si>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</si>
  <si>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</si>
  <si>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</si>
  <si>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</si>
  <si>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</si>
  <si>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</si>
  <si>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</si>
  <si>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</si>
  <si>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</si>
  <si>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</si>
  <si>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</si>
  <si>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</si>
  <si>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</si>
  <si>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</si>
  <si>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</si>
  <si>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</si>
  <si>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</si>
  <si>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</si>
  <si>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</si>
  <si>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</si>
  <si>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</si>
  <si>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</si>
  <si>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</si>
  <si>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</si>
  <si>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</si>
  <si>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</si>
  <si>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</si>
  <si>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</si>
  <si>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</si>
  <si>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</si>
  <si>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</si>
  <si>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</si>
  <si>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</si>
  <si>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</si>
  <si>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</si>
  <si>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</si>
  <si>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</si>
  <si>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</si>
  <si>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</si>
  <si>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</si>
  <si>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</si>
  <si>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</si>
  <si>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</si>
  <si>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</si>
  <si>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</si>
  <si>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</si>
  <si>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</si>
  <si>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</si>
  <si>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</si>
  <si>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</si>
  <si>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</si>
  <si>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</si>
  <si>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</si>
  <si>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</si>
  <si>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</si>
  <si>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</si>
  <si>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</si>
  <si>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</si>
  <si>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</si>
  <si>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</si>
  <si>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</si>
  <si>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</si>
  <si>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</si>
  <si>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</si>
  <si>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</si>
  <si>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</si>
  <si>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</si>
  <si>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</si>
  <si>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</si>
  <si>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</si>
  <si>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</si>
  <si>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</si>
  <si>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</si>
  <si>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</si>
  <si>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</si>
  <si>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</si>
  <si>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</si>
  <si>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</si>
  <si>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</si>
  <si>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</si>
  <si>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</si>
  <si>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</si>
  <si>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</si>
  <si>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</si>
  <si>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</si>
  <si>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</si>
  <si>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</si>
  <si>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</si>
  <si>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</si>
  <si>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</si>
  <si>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</si>
  <si>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</si>
  <si>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</si>
  <si>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</si>
  <si>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</si>
  <si>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</si>
  <si>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</si>
  <si>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</si>
  <si>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</si>
  <si>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</si>
  <si>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</si>
  <si>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</si>
  <si>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</si>
  <si>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</si>
  <si>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</si>
  <si>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</si>
  <si>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</si>
  <si>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</si>
  <si>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</si>
  <si>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</si>
  <si>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</si>
  <si>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</si>
  <si>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</si>
  <si>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</si>
  <si>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</si>
  <si>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</si>
  <si>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</si>
  <si>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</si>
  <si>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</si>
  <si>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</si>
  <si>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</si>
  <si>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</si>
  <si>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</si>
  <si>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</si>
  <si>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</si>
  <si>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</si>
  <si>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</si>
  <si>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</si>
  <si>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</si>
  <si>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</si>
  <si>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</si>
  <si>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</si>
  <si>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</si>
  <si>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</si>
  <si>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</si>
  <si>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</si>
  <si>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</si>
  <si>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</si>
  <si>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</si>
  <si>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</si>
  <si>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</si>
  <si>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</si>
  <si>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</si>
  <si>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</si>
  <si>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</si>
  <si>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</si>
  <si>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</si>
  <si>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</si>
  <si>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</si>
  <si>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</si>
  <si>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</si>
  <si>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</si>
  <si>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</si>
  <si>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</si>
  <si>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</si>
  <si>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</si>
  <si>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</si>
  <si>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</si>
  <si>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</si>
  <si>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</si>
  <si>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</si>
  <si>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</si>
  <si>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</si>
  <si>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</si>
  <si>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</si>
  <si>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</si>
  <si>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</si>
  <si>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</si>
  <si>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</si>
  <si>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</si>
  <si>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</si>
  <si>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</si>
  <si>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</si>
  <si>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</si>
  <si>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</si>
  <si>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</si>
  <si>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</si>
  <si>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</si>
  <si>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</si>
  <si>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</si>
  <si>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</si>
  <si>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</si>
  <si>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</si>
  <si>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</si>
  <si>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</si>
  <si>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</si>
  <si>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</si>
  <si>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</si>
  <si>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</si>
  <si>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</si>
  <si>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</si>
  <si>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</si>
  <si>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</si>
  <si>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</si>
  <si>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</si>
  <si>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</si>
  <si>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</si>
  <si>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</si>
  <si>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</si>
  <si>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</si>
  <si>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</si>
  <si>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</si>
  <si>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</si>
  <si>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</si>
  <si>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</si>
  <si>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</si>
  <si>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</si>
  <si>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</si>
  <si>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</si>
  <si>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</si>
  <si>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</si>
  <si>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</si>
  <si>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</si>
  <si>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</si>
  <si>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</si>
  <si>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</si>
  <si>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</si>
  <si>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</si>
  <si>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</si>
  <si>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</si>
  <si>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</si>
  <si>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</si>
  <si>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</si>
  <si>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</si>
  <si>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</si>
  <si>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</si>
  <si>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</si>
  <si>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</si>
  <si>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</si>
  <si>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</si>
  <si>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</si>
  <si>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</si>
  <si>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</si>
  <si>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</si>
  <si>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</si>
  <si>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</si>
  <si>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</si>
  <si>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</si>
  <si>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</si>
  <si>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</si>
  <si>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</si>
  <si>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</si>
  <si>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</si>
  <si>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</si>
  <si>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</si>
  <si>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</si>
  <si>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</si>
  <si>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</si>
  <si>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</si>
  <si>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</si>
  <si>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</si>
  <si>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</si>
  <si>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</si>
  <si>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</si>
  <si>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</si>
  <si>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</si>
  <si>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</si>
  <si>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</si>
  <si>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</si>
  <si>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</si>
  <si>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</si>
  <si>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</si>
  <si>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</si>
  <si>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</si>
  <si>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</si>
  <si>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</si>
  <si>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</si>
  <si>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</si>
  <si>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</si>
  <si>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</si>
  <si>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</si>
  <si>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</si>
  <si>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</si>
  <si>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</si>
  <si>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</si>
  <si>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</si>
  <si>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</si>
  <si>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</si>
  <si>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</si>
  <si>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</si>
  <si>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</si>
  <si>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</si>
  <si>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</si>
  <si>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</si>
  <si>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</si>
  <si>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</si>
  <si>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</si>
  <si>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</si>
  <si>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</si>
  <si>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</si>
  <si>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</si>
  <si>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</si>
  <si>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</si>
  <si>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</si>
  <si>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</si>
  <si>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</si>
  <si>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</si>
  <si>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</si>
  <si>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</si>
  <si>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</si>
  <si>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</si>
  <si>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</si>
  <si>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</si>
  <si>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</si>
  <si>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</si>
  <si>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</si>
  <si>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</si>
  <si>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</si>
  <si>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</si>
  <si>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</si>
  <si>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</si>
  <si>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</si>
  <si>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</si>
  <si>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</si>
  <si>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</si>
  <si>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</si>
  <si>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</si>
  <si>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</si>
  <si>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</si>
  <si>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</si>
  <si>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</si>
  <si>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</si>
  <si>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</si>
  <si>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</si>
  <si>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</si>
  <si>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</si>
  <si>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</si>
  <si>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</si>
  <si>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</si>
  <si>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</si>
  <si>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</si>
  <si>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</si>
  <si>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</si>
  <si>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</si>
  <si>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</si>
  <si>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</si>
  <si>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</si>
  <si>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</si>
  <si>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</si>
  <si>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</si>
  <si>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</si>
  <si>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</si>
  <si>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</si>
  <si>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</si>
  <si>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</si>
  <si>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</si>
  <si>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</si>
  <si>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</si>
  <si>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</si>
  <si>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</si>
  <si>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</si>
  <si>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</si>
  <si>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</si>
  <si>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</si>
  <si>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</si>
  <si>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</si>
  <si>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</si>
  <si>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</si>
  <si>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</si>
  <si>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</si>
  <si>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</si>
  <si>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</si>
  <si>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</si>
  <si>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</si>
  <si>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</si>
  <si>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</si>
  <si>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</si>
  <si>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</si>
  <si>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</si>
  <si>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</si>
  <si>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</si>
  <si>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</si>
  <si>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</si>
  <si>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</si>
  <si>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</si>
  <si>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</si>
  <si>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</si>
  <si>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</si>
  <si>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</si>
  <si>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</si>
  <si>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</si>
  <si>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</si>
  <si>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</si>
  <si>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</si>
  <si>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</si>
  <si>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</si>
  <si>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</si>
  <si>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</si>
  <si>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</si>
  <si>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</si>
  <si>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</si>
  <si>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</si>
  <si>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</si>
  <si>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</si>
  <si>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</si>
  <si>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</si>
  <si>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</si>
  <si>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</si>
  <si>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</si>
  <si>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</si>
  <si>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</si>
  <si>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</si>
  <si>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</si>
  <si>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</si>
  <si>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</si>
  <si>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</si>
  <si>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</si>
  <si>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</si>
  <si>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</si>
  <si>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</si>
  <si>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</si>
  <si>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</si>
  <si>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</si>
  <si>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</si>
  <si>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</si>
  <si>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</si>
  <si>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</si>
  <si>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</si>
  <si>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</si>
  <si>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</si>
  <si>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</si>
  <si>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</si>
  <si>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</si>
  <si>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</si>
  <si>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</si>
  <si>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</si>
  <si>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</si>
  <si>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</si>
  <si>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</si>
  <si>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</si>
  <si>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</si>
  <si>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</si>
  <si>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</si>
  <si>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</si>
  <si>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</si>
  <si>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</si>
  <si>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</si>
  <si>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</si>
  <si>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</si>
  <si>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</si>
  <si>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</si>
  <si>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</si>
  <si>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</si>
  <si>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</si>
  <si>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</si>
  <si>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</si>
  <si>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</si>
  <si>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</si>
  <si>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</si>
  <si>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</si>
  <si>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</si>
  <si>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</si>
  <si>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</si>
  <si>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</si>
  <si>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</si>
  <si>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</si>
  <si>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</si>
  <si>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</si>
  <si>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</si>
  <si>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</si>
  <si>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</si>
  <si>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</si>
  <si>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</si>
  <si>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</si>
  <si>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</si>
  <si>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</si>
  <si>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</si>
  <si>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</si>
  <si>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</si>
  <si>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</si>
  <si>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</si>
  <si>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</si>
  <si>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</si>
  <si>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</si>
  <si>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</si>
  <si>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</si>
  <si>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</si>
  <si>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</si>
  <si>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</si>
  <si>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</si>
  <si>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</si>
  <si>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</si>
  <si>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</si>
  <si>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</si>
  <si>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</si>
  <si>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</si>
  <si>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</si>
  <si>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</si>
  <si>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</si>
  <si>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</si>
  <si>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</si>
  <si>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</si>
  <si>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</si>
  <si>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</si>
  <si>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</si>
  <si>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</si>
  <si>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</si>
  <si>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</si>
  <si>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</si>
  <si>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</si>
  <si>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</si>
  <si>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</si>
  <si>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</si>
  <si>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</si>
  <si>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</si>
  <si>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</si>
  <si>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</si>
  <si>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</si>
  <si>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</si>
  <si>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</si>
  <si>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</si>
  <si>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</si>
  <si>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</si>
  <si>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</si>
  <si>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</si>
  <si>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</si>
  <si>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</si>
  <si>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</si>
  <si>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</si>
  <si>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</si>
  <si>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</si>
  <si>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</si>
  <si>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</si>
  <si>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</si>
  <si>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</si>
  <si>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</si>
  <si>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</si>
  <si>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</si>
  <si>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</si>
  <si>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</si>
  <si>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</si>
  <si>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</si>
  <si>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</si>
  <si>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</si>
  <si>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</si>
  <si>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</si>
  <si>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</si>
  <si>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</si>
  <si>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</si>
  <si>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</si>
  <si>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</si>
  <si>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</si>
  <si>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</si>
  <si>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</si>
  <si>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</si>
  <si>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</si>
  <si>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</si>
  <si>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</si>
  <si>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</si>
  <si>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</si>
  <si>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</si>
  <si>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</si>
  <si>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</si>
  <si>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</si>
  <si>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</si>
  <si>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</si>
  <si>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</si>
  <si>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</si>
  <si>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</si>
  <si>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</si>
  <si>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</si>
  <si>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</si>
  <si>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</si>
  <si>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</si>
  <si>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</si>
  <si>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</si>
  <si>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</si>
  <si>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</si>
  <si>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</si>
  <si>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</si>
  <si>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</si>
  <si>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</si>
  <si>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</si>
  <si>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</si>
  <si>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</si>
  <si>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</si>
  <si>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</si>
  <si>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</si>
  <si>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</si>
  <si>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</si>
  <si>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</si>
  <si>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</si>
  <si>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</si>
  <si>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</si>
  <si>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</si>
  <si>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</si>
  <si>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</si>
  <si>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</si>
  <si>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</si>
  <si>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</si>
  <si>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</si>
  <si>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</si>
  <si>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</si>
  <si>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</si>
  <si>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</si>
  <si>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</si>
  <si>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</si>
  <si>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</si>
  <si>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</si>
  <si>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</si>
  <si>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</si>
  <si>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</si>
  <si>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</si>
  <si>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</si>
  <si>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</si>
  <si>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</si>
  <si>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</si>
  <si>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</si>
  <si>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</si>
  <si>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</si>
  <si>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</si>
  <si>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</si>
  <si>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</si>
  <si>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</si>
  <si>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</si>
  <si>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</si>
  <si>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</si>
  <si>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</si>
  <si>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</si>
  <si>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</si>
  <si>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</si>
  <si>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</si>
  <si>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</si>
  <si>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</si>
  <si>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</si>
  <si>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</si>
  <si>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</si>
  <si>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</si>
  <si>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</si>
  <si>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</si>
  <si>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</si>
  <si>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</si>
  <si>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</si>
  <si>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</si>
  <si>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</si>
  <si>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</si>
  <si>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</si>
  <si>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</si>
  <si>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</si>
  <si>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</si>
  <si>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</si>
  <si>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</si>
  <si>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</si>
  <si>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</si>
  <si>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</si>
  <si>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</si>
  <si>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</si>
  <si>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</si>
  <si>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</si>
  <si>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</si>
  <si>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</si>
  <si>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</si>
  <si>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</si>
  <si>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</si>
  <si>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</si>
  <si>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</si>
  <si>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</si>
  <si>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</si>
  <si>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</si>
  <si>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</si>
  <si>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</si>
  <si>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</si>
  <si>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</si>
  <si>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</si>
  <si>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</si>
  <si>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</si>
  <si>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</si>
  <si>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</si>
  <si>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</si>
  <si>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</si>
  <si>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</si>
  <si>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</si>
  <si>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</si>
  <si>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</si>
  <si>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</si>
  <si>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</si>
  <si>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</si>
  <si>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</si>
  <si>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</si>
  <si>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</si>
  <si>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</si>
  <si>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</si>
  <si>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</si>
  <si>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</si>
  <si>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</si>
  <si>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</si>
  <si>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</si>
  <si>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</si>
  <si>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</si>
  <si>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</si>
  <si>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</si>
  <si>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</si>
  <si>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</si>
  <si>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</si>
  <si>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</si>
  <si>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</si>
  <si>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</si>
  <si>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</si>
  <si>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</si>
  <si>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</si>
  <si>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</si>
  <si>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</si>
  <si>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</si>
  <si>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</si>
  <si>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</si>
  <si>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</si>
  <si>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</si>
  <si>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</si>
  <si>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</si>
  <si>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</si>
  <si>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</si>
  <si>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</si>
  <si>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</si>
  <si>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</si>
  <si>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</si>
  <si>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</si>
  <si>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</si>
  <si>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</si>
  <si>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</si>
  <si>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</si>
  <si>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</si>
  <si>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</si>
  <si>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</si>
  <si>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</si>
  <si>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</si>
  <si>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</si>
  <si>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</si>
  <si>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</si>
  <si>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</si>
  <si>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</si>
  <si>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</si>
  <si>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</si>
  <si>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</si>
  <si>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</si>
  <si>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</si>
  <si>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</si>
  <si>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</si>
  <si>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</si>
  <si>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</si>
  <si>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</si>
  <si>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</si>
  <si>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</si>
  <si>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</si>
  <si>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</si>
  <si>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</si>
  <si>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</si>
  <si>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</si>
  <si>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</si>
  <si>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</si>
  <si>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</si>
  <si>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</si>
  <si>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</si>
  <si>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</si>
  <si>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</si>
  <si>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</si>
  <si>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</si>
  <si>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</si>
  <si>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</si>
  <si>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</si>
  <si>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</si>
  <si>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</si>
  <si>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</si>
  <si>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</si>
  <si>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</si>
  <si>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</si>
  <si>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</si>
  <si>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</si>
  <si>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</si>
  <si>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</si>
  <si>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</si>
  <si>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</si>
  <si>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</si>
  <si>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</si>
  <si>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</si>
  <si>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</si>
  <si>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</si>
  <si>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</si>
  <si>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</si>
  <si>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</si>
  <si>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</si>
  <si>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</si>
  <si>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</si>
  <si>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</si>
  <si>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</si>
  <si>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</si>
  <si>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</si>
  <si>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</si>
  <si>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</si>
  <si>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</si>
  <si>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</si>
  <si>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</si>
  <si>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</si>
  <si>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</si>
  <si>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</si>
  <si>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</si>
  <si>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</si>
  <si>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</si>
  <si>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</si>
  <si>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</si>
  <si>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</si>
  <si>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</si>
  <si>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</si>
  <si>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</si>
  <si>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</si>
  <si>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</si>
  <si>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</si>
  <si>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</si>
  <si>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</si>
  <si>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</si>
  <si>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</si>
  <si>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</si>
  <si>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</si>
  <si>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</si>
  <si>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</si>
  <si>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</si>
  <si>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</si>
  <si>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</si>
  <si>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</si>
  <si>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</si>
  <si>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</si>
  <si>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</si>
  <si>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</si>
  <si>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</si>
  <si>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</si>
  <si>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</si>
  <si>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</si>
  <si>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</si>
  <si>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</si>
  <si>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</si>
  <si>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</si>
  <si>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</si>
  <si>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</si>
  <si>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</si>
  <si>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</si>
  <si>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</si>
  <si>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</si>
  <si>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</si>
  <si>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</si>
  <si>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</si>
  <si>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</si>
  <si>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</si>
  <si>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</si>
  <si>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</si>
  <si>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</si>
  <si>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</si>
  <si>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</si>
  <si>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</si>
  <si>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</si>
  <si>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</si>
  <si>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</si>
  <si>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</si>
  <si>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</si>
  <si>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</si>
  <si>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</si>
  <si>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</si>
  <si>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</si>
  <si>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</si>
  <si>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</si>
  <si>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</si>
  <si>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</si>
  <si>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</si>
  <si>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</si>
  <si>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</si>
  <si>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</si>
  <si>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</si>
  <si>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</si>
  <si>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</si>
  <si>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</si>
  <si>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</si>
  <si>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</si>
  <si>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</si>
  <si>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</si>
  <si>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</si>
  <si>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</si>
  <si>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</si>
  <si>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</si>
  <si>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</si>
  <si>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</si>
  <si>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</si>
  <si>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</si>
  <si>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</si>
  <si>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</si>
  <si>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</si>
  <si>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</si>
  <si>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</si>
  <si>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</si>
  <si>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</si>
  <si>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</si>
  <si>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</si>
  <si>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</si>
  <si>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</si>
  <si>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</si>
  <si>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</si>
  <si>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</si>
  <si>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</si>
  <si>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</si>
  <si>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</si>
  <si>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</si>
  <si>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</si>
  <si>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</si>
  <si>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</si>
  <si>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</si>
  <si>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</si>
  <si>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</si>
  <si>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</si>
  <si>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</si>
  <si>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</si>
  <si>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</si>
  <si>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</si>
  <si>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</si>
  <si>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</si>
  <si>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</si>
  <si>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</si>
  <si>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</si>
  <si>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</si>
  <si>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</si>
  <si>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</si>
  <si>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</si>
  <si>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</si>
  <si>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</si>
  <si>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</si>
  <si>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</si>
  <si>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</si>
  <si>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</si>
  <si>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</si>
  <si>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</si>
  <si>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</si>
  <si>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</si>
  <si>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</si>
  <si>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</si>
  <si>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</si>
  <si>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</si>
  <si>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</si>
  <si>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</si>
  <si>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</si>
  <si>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</si>
  <si>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</si>
  <si>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</si>
  <si>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</si>
  <si>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</si>
  <si>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</si>
  <si>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</si>
  <si>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</si>
  <si>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</si>
  <si>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</si>
  <si>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</si>
  <si>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</si>
  <si>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</si>
  <si>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</si>
  <si>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</si>
  <si>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</si>
  <si>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</si>
  <si>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</si>
  <si>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</si>
  <si>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</si>
  <si>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</si>
  <si>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</si>
  <si>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</si>
  <si>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</si>
  <si>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</si>
  <si>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</si>
  <si>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</si>
  <si>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</si>
  <si>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</si>
  <si>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</si>
  <si>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</si>
  <si>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</si>
  <si>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</si>
  <si>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</si>
  <si>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</si>
  <si>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</si>
  <si>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</si>
  <si>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</si>
  <si>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</si>
  <si>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</si>
  <si>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</si>
  <si>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</si>
  <si>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</si>
  <si>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</si>
  <si>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</si>
  <si>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</si>
  <si>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</si>
  <si>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</si>
  <si>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</si>
  <si>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</si>
  <si>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</si>
  <si>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</si>
  <si>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</si>
  <si>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</si>
  <si>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</si>
  <si>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</si>
  <si>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</si>
  <si>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</si>
  <si>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</si>
  <si>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</si>
  <si>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</si>
  <si>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</si>
  <si>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</si>
  <si>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</si>
  <si>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</si>
  <si>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</si>
  <si>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</si>
  <si>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</si>
  <si>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</si>
  <si>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</si>
  <si>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</si>
  <si>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</si>
  <si>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</si>
  <si>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</si>
  <si>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</si>
  <si>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</si>
  <si>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</si>
  <si>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</si>
  <si>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</si>
  <si>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</si>
  <si>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</si>
  <si>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</si>
  <si>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</si>
  <si>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</si>
  <si>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</si>
  <si>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</si>
  <si>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</si>
  <si>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</si>
  <si>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</si>
  <si>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</si>
  <si>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</si>
  <si>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</si>
  <si>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</si>
  <si>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</si>
  <si>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</si>
  <si>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</si>
  <si>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</si>
  <si>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</si>
  <si>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</si>
  <si>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</si>
  <si>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</si>
  <si>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</si>
  <si>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</si>
  <si>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</si>
  <si>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</si>
  <si>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</si>
  <si>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</si>
  <si>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</si>
  <si>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</si>
  <si>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</si>
  <si>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</si>
  <si>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</si>
  <si>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</si>
  <si>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</si>
  <si>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</si>
  <si>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</si>
  <si>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</si>
  <si>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</si>
  <si>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</si>
  <si>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</si>
  <si>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</si>
  <si>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</si>
  <si>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</si>
  <si>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</si>
  <si>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</si>
  <si>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</si>
  <si>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</si>
  <si>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</si>
  <si>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</si>
  <si>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</si>
  <si>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</si>
  <si>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</si>
  <si>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</si>
  <si>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</si>
  <si>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</si>
  <si>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</si>
  <si>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</si>
  <si>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</si>
  <si>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</si>
  <si>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</si>
  <si>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</si>
  <si>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</si>
  <si>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</si>
  <si>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</si>
  <si>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</si>
  <si>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</si>
  <si>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</si>
  <si>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</si>
  <si>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</si>
  <si>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</si>
  <si>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</si>
  <si>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</si>
  <si>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</si>
  <si>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</si>
  <si>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</si>
  <si>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</si>
  <si>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</si>
  <si>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</si>
  <si>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</si>
  <si>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</si>
  <si>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</si>
  <si>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</si>
  <si>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</si>
  <si>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</si>
  <si>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</si>
  <si>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</si>
  <si>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</si>
  <si>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</si>
  <si>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</si>
  <si>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</si>
  <si>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</si>
  <si>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</si>
  <si>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</si>
  <si>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</si>
  <si>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</si>
  <si>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</si>
  <si>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</si>
  <si>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</si>
  <si>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</si>
  <si>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</si>
  <si>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</si>
  <si>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</si>
  <si>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</si>
  <si>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</si>
  <si>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</si>
  <si>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</si>
  <si>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</si>
  <si>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</si>
  <si>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</si>
  <si>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</si>
  <si>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</si>
  <si>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</si>
  <si>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</si>
  <si>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</si>
  <si>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</si>
  <si>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</si>
  <si>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</si>
  <si>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</si>
  <si>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</si>
  <si>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</si>
  <si>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</si>
  <si>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</si>
  <si>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</si>
  <si>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</si>
  <si>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</si>
  <si>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</si>
  <si>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</si>
  <si>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</si>
  <si>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</si>
  <si>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</si>
  <si>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</si>
  <si>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</si>
  <si>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</si>
  <si>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</si>
  <si>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</si>
  <si>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</si>
  <si>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</si>
  <si>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</si>
  <si>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</si>
  <si>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</si>
  <si>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</si>
  <si>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</si>
  <si>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</si>
  <si>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</si>
  <si>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</si>
  <si>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</si>
  <si>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</si>
  <si>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</si>
  <si>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</si>
  <si>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</si>
  <si>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</si>
  <si>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</si>
  <si>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</si>
  <si>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</si>
  <si>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</si>
  <si>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</si>
  <si>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</si>
  <si>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</si>
  <si>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</si>
  <si>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</si>
  <si>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</si>
  <si>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</si>
  <si>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</si>
  <si>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</si>
  <si>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</si>
  <si>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</si>
  <si>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</si>
  <si>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</si>
  <si>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</si>
  <si>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</si>
  <si>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</si>
  <si>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</si>
  <si>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</si>
  <si>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</si>
  <si>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</si>
  <si>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</si>
  <si>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</si>
  <si>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</si>
  <si>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</si>
  <si>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</si>
  <si>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</si>
  <si>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</si>
  <si>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</si>
  <si>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</si>
  <si>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</si>
  <si>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</si>
  <si>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</si>
  <si>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</si>
  <si>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</si>
  <si>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</si>
  <si>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</si>
  <si>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</si>
  <si>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</si>
  <si>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</si>
  <si>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</si>
  <si>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</si>
  <si>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</si>
  <si>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</si>
  <si>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</si>
  <si>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</si>
  <si>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</si>
  <si>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</si>
  <si>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</si>
  <si>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</si>
  <si>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</si>
  <si>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</si>
  <si>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</si>
  <si>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</si>
  <si>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</si>
  <si>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</si>
  <si>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</si>
  <si>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</si>
  <si>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</si>
  <si>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</si>
  <si>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</si>
  <si>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</si>
  <si>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</si>
  <si>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</si>
  <si>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</si>
  <si>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</si>
  <si>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</si>
  <si>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</si>
  <si>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</si>
  <si>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</si>
  <si>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</si>
  <si>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</si>
  <si>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</si>
  <si>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</si>
  <si>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</si>
  <si>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</si>
  <si>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</si>
  <si>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</si>
  <si>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</si>
  <si>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</si>
  <si>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</si>
  <si>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</si>
  <si>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</si>
  <si>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</si>
  <si>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</si>
  <si>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</si>
  <si>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</si>
  <si>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</si>
  <si>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</si>
  <si>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</si>
  <si>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</si>
  <si>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</si>
  <si>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</si>
  <si>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</si>
  <si>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</si>
  <si>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</si>
  <si>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</si>
  <si>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</si>
  <si>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</si>
  <si>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</si>
  <si>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</si>
  <si>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</si>
  <si>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</si>
  <si>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</si>
  <si>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</si>
  <si>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</si>
  <si>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</si>
  <si>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</si>
  <si>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</si>
  <si>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</si>
  <si>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</si>
  <si>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</si>
  <si>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</si>
  <si>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</si>
  <si>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</si>
  <si>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</si>
  <si>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</si>
  <si>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</si>
  <si>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</si>
  <si>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</si>
  <si>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</si>
  <si>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</si>
  <si>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</si>
  <si>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</si>
  <si>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</si>
  <si>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</si>
  <si>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</si>
  <si>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</si>
  <si>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</si>
  <si>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</si>
  <si>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</si>
  <si>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</si>
  <si>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</si>
  <si>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</si>
  <si>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</si>
  <si>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</si>
  <si>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</si>
  <si>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</si>
  <si>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</si>
  <si>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</si>
  <si>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</si>
  <si>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</si>
  <si>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</si>
  <si>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</si>
  <si>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</si>
  <si>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</si>
  <si>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</si>
  <si>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</si>
  <si>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</si>
  <si>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</si>
  <si>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</si>
  <si>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</si>
  <si>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</si>
  <si>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</si>
  <si>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</si>
  <si>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</si>
  <si>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</si>
  <si>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</si>
  <si>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</si>
  <si>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</si>
  <si>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</si>
  <si>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</si>
  <si>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</si>
  <si>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</si>
  <si>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</si>
  <si>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</si>
  <si>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</si>
  <si>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</si>
  <si>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</si>
  <si>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</si>
  <si>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</si>
  <si>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</si>
  <si>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</si>
  <si>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</si>
  <si>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</si>
  <si>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</si>
  <si>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</si>
  <si>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</si>
  <si>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</si>
  <si>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</si>
  <si>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</si>
  <si>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</si>
  <si>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</si>
  <si>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</si>
  <si>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</si>
  <si>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</si>
  <si>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</si>
  <si>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</si>
  <si>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</si>
  <si>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</si>
  <si>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</si>
  <si>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</si>
  <si>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</si>
  <si>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</si>
  <si>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</si>
  <si>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</si>
  <si>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</si>
  <si>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</si>
  <si>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</si>
  <si>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</si>
  <si>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</si>
  <si>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</si>
  <si>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</si>
  <si>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</si>
  <si>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</si>
  <si>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</si>
  <si>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</si>
  <si>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</si>
  <si>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</si>
  <si>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</si>
  <si>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</si>
  <si>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</si>
  <si>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</si>
  <si>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</si>
  <si>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</si>
  <si>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</si>
  <si>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</si>
  <si>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</si>
  <si>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</si>
  <si>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</si>
  <si>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</si>
  <si>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</si>
  <si>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</si>
  <si>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</si>
  <si>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</si>
  <si>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</si>
  <si>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</si>
  <si>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</si>
  <si>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</si>
  <si>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</si>
  <si>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</si>
  <si>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</si>
  <si>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</si>
  <si>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</si>
  <si>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</si>
  <si>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</si>
  <si>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</si>
  <si>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</si>
  <si>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</si>
  <si>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</si>
  <si>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</si>
  <si>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</si>
  <si>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</si>
  <si>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</si>
  <si>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</si>
  <si>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</si>
  <si>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</si>
  <si>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</si>
  <si>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</si>
  <si>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</si>
  <si>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</si>
  <si>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</si>
  <si>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</si>
  <si>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</si>
  <si>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</si>
  <si>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</si>
  <si>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</si>
  <si>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</si>
  <si>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</si>
  <si>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</si>
  <si>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</si>
  <si>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</si>
  <si>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</si>
  <si>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</si>
  <si>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</si>
  <si>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</si>
  <si>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</si>
  <si>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</si>
  <si>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</si>
  <si>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</si>
  <si>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</si>
  <si>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</si>
  <si>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</si>
  <si>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</si>
  <si>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</si>
  <si>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</si>
  <si>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</si>
  <si>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</si>
  <si>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</si>
  <si>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</si>
  <si>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</si>
  <si>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</si>
  <si>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</si>
  <si>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</si>
  <si>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</si>
  <si>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</si>
  <si>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</si>
  <si>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</si>
  <si>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</si>
  <si>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</si>
  <si>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</si>
  <si>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</si>
  <si>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</si>
  <si>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</si>
  <si>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</si>
  <si>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</si>
  <si>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</si>
  <si>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</si>
  <si>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</si>
  <si>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</si>
  <si>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</si>
  <si>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</si>
  <si>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</si>
  <si>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</si>
  <si>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</si>
  <si>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</si>
  <si>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</si>
  <si>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</si>
  <si>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</si>
  <si>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</si>
  <si>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</si>
  <si>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</si>
  <si>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</si>
  <si>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</si>
  <si>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</si>
  <si>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</si>
  <si>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</si>
  <si>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</si>
  <si>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</si>
  <si>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</si>
  <si>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</si>
  <si>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</si>
  <si>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</si>
  <si>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</si>
  <si>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</si>
  <si>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</si>
  <si>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</si>
  <si>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</si>
  <si>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</si>
  <si>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</si>
  <si>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</si>
  <si>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</si>
  <si>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</si>
  <si>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</si>
  <si>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</si>
  <si>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</si>
  <si>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</si>
  <si>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</si>
  <si>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</si>
  <si>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</si>
  <si>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</si>
  <si>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</si>
  <si>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</si>
  <si>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</si>
  <si>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</si>
  <si>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</si>
  <si>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</si>
  <si>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</si>
  <si>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</si>
  <si>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</si>
  <si>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</si>
  <si>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</si>
  <si>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</si>
  <si>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</si>
  <si>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</si>
  <si>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</si>
  <si>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</si>
  <si>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</si>
  <si>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</si>
  <si>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</si>
  <si>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</si>
  <si>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</si>
  <si>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</si>
  <si>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</si>
  <si>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</si>
  <si>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</si>
  <si>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</si>
  <si>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</si>
  <si>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</si>
  <si>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</si>
  <si>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</si>
  <si>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</si>
  <si>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</si>
  <si>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</si>
  <si>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</si>
  <si>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</si>
  <si>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</si>
  <si>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</si>
  <si>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</si>
  <si>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</si>
  <si>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</si>
  <si>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</si>
  <si>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</si>
  <si>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</si>
  <si>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</si>
  <si>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</si>
  <si>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</si>
  <si>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</si>
  <si>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</si>
  <si>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</si>
  <si>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</si>
  <si>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</si>
  <si>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</si>
  <si>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</si>
  <si>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</si>
  <si>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</si>
  <si>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</si>
  <si>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</si>
  <si>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</si>
  <si>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</si>
  <si>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</si>
  <si>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</si>
  <si>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</si>
  <si>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</si>
  <si>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</si>
  <si>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</si>
  <si>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</si>
  <si>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</si>
  <si>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</si>
  <si>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</si>
  <si>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</si>
  <si>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</si>
  <si>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</si>
  <si>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</si>
  <si>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</si>
  <si>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</si>
  <si>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</si>
  <si>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</si>
  <si>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</si>
  <si>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</si>
  <si>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</si>
  <si>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</si>
  <si>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</si>
  <si>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</si>
  <si>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</si>
  <si>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</si>
  <si>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</si>
  <si>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</si>
  <si>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</si>
  <si>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</si>
  <si>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</si>
  <si>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</si>
  <si>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</si>
  <si>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</si>
  <si>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</si>
  <si>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</si>
  <si>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</si>
  <si>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</si>
  <si>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</si>
  <si>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</si>
  <si>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</si>
  <si>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</si>
  <si>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</si>
  <si>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</si>
  <si>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</si>
  <si>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</si>
  <si>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</si>
  <si>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</si>
  <si>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</si>
  <si>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</si>
  <si>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</si>
  <si>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</si>
  <si>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</si>
  <si>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</si>
  <si>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</si>
  <si>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</si>
  <si>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</si>
  <si>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</si>
  <si>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</si>
  <si>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</si>
  <si>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</si>
  <si>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</si>
  <si>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</si>
  <si>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</si>
  <si>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</si>
  <si>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</si>
  <si>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</si>
  <si>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</si>
  <si>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</si>
  <si>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</si>
  <si>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</si>
  <si>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</si>
  <si>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</si>
  <si>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</si>
  <si>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</si>
  <si>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</si>
  <si>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</si>
  <si>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</si>
  <si>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</si>
  <si>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</si>
  <si>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</si>
  <si>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</si>
  <si>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</si>
  <si>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</si>
  <si>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</si>
  <si>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</si>
  <si>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</si>
  <si>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</si>
  <si>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</si>
  <si>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</si>
  <si>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</si>
  <si>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</si>
  <si>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</si>
  <si>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</si>
  <si>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</si>
  <si>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</si>
  <si>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</si>
  <si>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</si>
  <si>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</si>
  <si>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</si>
  <si>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</si>
  <si>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</si>
  <si>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</si>
  <si>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</si>
  <si>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</si>
  <si>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</si>
  <si>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</si>
  <si>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</si>
  <si>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</si>
  <si>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</si>
  <si>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</si>
  <si>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</si>
  <si>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</si>
  <si>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</si>
  <si>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</si>
  <si>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</si>
  <si>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</si>
  <si>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</si>
  <si>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</si>
  <si>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</si>
  <si>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</si>
  <si>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</si>
  <si>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</si>
  <si>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</si>
  <si>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</si>
  <si>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</si>
  <si>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</si>
  <si>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</si>
  <si>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</si>
  <si>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</si>
  <si>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</si>
  <si>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</si>
  <si>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</si>
  <si>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</si>
  <si>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</si>
  <si>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</si>
  <si>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</si>
  <si>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</si>
  <si>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</si>
  <si>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</si>
  <si>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</si>
  <si>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</si>
  <si>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</si>
  <si>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</si>
  <si>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</si>
  <si>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</si>
  <si>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</si>
  <si>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</si>
  <si>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</si>
  <si>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</si>
  <si>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</si>
  <si>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</si>
  <si>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</si>
  <si>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</si>
  <si>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</si>
  <si>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</si>
  <si>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</si>
  <si>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</si>
  <si>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</si>
  <si>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</si>
  <si>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</si>
  <si>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</si>
  <si>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</si>
  <si>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</si>
  <si>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</si>
  <si>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</si>
  <si>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</si>
  <si>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</si>
  <si>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</si>
  <si>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</si>
  <si>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</si>
  <si>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</si>
  <si>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</si>
  <si>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</si>
  <si>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</si>
  <si>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</si>
  <si>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</si>
  <si>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</si>
  <si>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</si>
  <si>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</si>
  <si>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</si>
  <si>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</si>
  <si>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</si>
  <si>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</si>
  <si>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</si>
  <si>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</si>
  <si>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</si>
  <si>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</si>
  <si>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</si>
  <si>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</si>
  <si>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</si>
  <si>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</si>
  <si>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</si>
  <si>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</si>
  <si>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</si>
  <si>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</si>
  <si>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</si>
  <si>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</si>
  <si>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</si>
  <si>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</si>
  <si>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</si>
  <si>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</si>
  <si>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</si>
  <si>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</si>
  <si>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</si>
  <si>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</si>
  <si>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</si>
  <si>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</si>
  <si>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</si>
  <si>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</si>
  <si>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</si>
  <si>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</si>
  <si>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</si>
  <si>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</si>
  <si>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</si>
  <si>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</si>
  <si>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</si>
  <si>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</si>
  <si>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</si>
  <si>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</si>
  <si>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</si>
  <si>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</si>
  <si>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</si>
  <si>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</si>
  <si>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</si>
  <si>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</si>
  <si>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</si>
  <si>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</si>
  <si>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</si>
  <si>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</si>
  <si>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</si>
  <si>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</si>
  <si>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</si>
  <si>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</si>
  <si>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</si>
  <si>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</si>
  <si>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</si>
  <si>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</si>
  <si>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</si>
  <si>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</si>
  <si>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</si>
  <si>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</si>
  <si>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</si>
  <si>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</si>
  <si>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</si>
  <si>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</si>
  <si>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</si>
  <si>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</si>
  <si>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</si>
  <si>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</si>
  <si>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</si>
  <si>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</si>
  <si>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</si>
  <si>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</si>
  <si>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</si>
  <si>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</si>
  <si>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</si>
  <si>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</si>
  <si>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</si>
  <si>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</si>
  <si>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</si>
  <si>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</si>
  <si>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</si>
  <si>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</si>
  <si>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</si>
  <si>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</si>
  <si>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</si>
  <si>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</si>
  <si>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</si>
  <si>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</si>
  <si>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</si>
  <si>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</si>
  <si>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</si>
  <si>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</si>
  <si>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</si>
  <si>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</si>
  <si>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</si>
  <si>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</si>
  <si>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</si>
  <si>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</si>
  <si>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</si>
  <si>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</si>
  <si>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</si>
  <si>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</si>
  <si>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</si>
  <si>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</si>
  <si>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</si>
  <si>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</si>
  <si>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</si>
  <si>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</si>
  <si>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</si>
  <si>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</si>
  <si>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</si>
  <si>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</si>
  <si>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</si>
  <si>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</si>
  <si>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</si>
  <si>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</si>
  <si>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</si>
  <si>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</si>
  <si>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</si>
  <si>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</si>
  <si>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</si>
  <si>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</si>
  <si>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</si>
  <si>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</si>
  <si>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</si>
  <si>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</si>
  <si>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</si>
  <si>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</si>
  <si>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</si>
  <si>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</si>
  <si>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</si>
  <si>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</si>
  <si>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</si>
  <si>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</si>
  <si>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</si>
  <si>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</si>
  <si>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</si>
  <si>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</si>
  <si>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</si>
  <si>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</si>
  <si>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</si>
  <si>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</si>
  <si>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</si>
  <si>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</si>
  <si>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</si>
  <si>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</si>
  <si>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</si>
  <si>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</si>
  <si>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</si>
  <si>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</si>
  <si>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</si>
  <si>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</si>
  <si>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</si>
  <si>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</si>
  <si>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</si>
  <si>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</si>
  <si>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</si>
  <si>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</si>
  <si>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</si>
  <si>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</si>
  <si>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</si>
  <si>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</si>
  <si>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</si>
  <si>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</si>
  <si>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</si>
  <si>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</si>
  <si>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</si>
  <si>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</si>
  <si>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</si>
  <si>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</si>
  <si>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</si>
  <si>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</si>
  <si>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</si>
  <si>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</si>
  <si>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</si>
  <si>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</si>
  <si>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</si>
  <si>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</si>
  <si>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</si>
  <si>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</si>
  <si>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</si>
  <si>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</si>
  <si>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</si>
  <si>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</si>
  <si>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</si>
  <si>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</si>
  <si>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</si>
  <si>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</si>
  <si>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</si>
  <si>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</si>
  <si>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</si>
  <si>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</si>
  <si>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</si>
  <si>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</si>
  <si>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</si>
  <si>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</si>
  <si>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</si>
  <si>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</si>
  <si>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</si>
  <si>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</si>
  <si>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</si>
  <si>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</si>
  <si>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</si>
  <si>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</si>
  <si>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</si>
  <si>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</si>
  <si>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</si>
  <si>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</si>
  <si>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</si>
  <si>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</si>
  <si>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</si>
  <si>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</si>
  <si>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</si>
  <si>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</si>
  <si>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</si>
  <si>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</si>
  <si>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</si>
  <si>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</si>
  <si>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</si>
  <si>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</si>
  <si>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</si>
  <si>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</si>
  <si>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</si>
  <si>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</si>
  <si>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</si>
  <si>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</si>
  <si>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</si>
  <si>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</si>
  <si>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</si>
  <si>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</si>
  <si>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</si>
  <si>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</si>
  <si>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</si>
  <si>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</si>
  <si>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</si>
  <si>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</si>
  <si>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</si>
  <si>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</si>
  <si>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</si>
  <si>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</si>
  <si>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</si>
  <si>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</si>
  <si>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</si>
  <si>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</si>
  <si>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</si>
  <si>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</si>
  <si>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</si>
  <si>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</si>
  <si>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</si>
  <si>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</si>
  <si>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</si>
  <si>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</si>
  <si>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</si>
  <si>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</si>
  <si>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</si>
  <si>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</si>
  <si>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</si>
  <si>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</si>
  <si>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</si>
  <si>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</si>
  <si>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</si>
  <si>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</si>
  <si>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</si>
  <si>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</si>
  <si>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</si>
  <si>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</si>
  <si>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</si>
  <si>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</si>
  <si>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</si>
  <si>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</si>
  <si>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</si>
  <si>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</si>
  <si>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</si>
  <si>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</si>
  <si>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</si>
  <si>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</si>
  <si>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</si>
  <si>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</si>
  <si>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</si>
  <si>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</si>
  <si>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</si>
  <si>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</si>
  <si>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</si>
  <si>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</si>
  <si>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</si>
  <si>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</si>
  <si>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</si>
  <si>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</si>
  <si>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</si>
  <si>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</si>
  <si>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</si>
  <si>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</si>
  <si>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</si>
  <si>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</si>
  <si>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</si>
  <si>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</si>
  <si>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</si>
  <si>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</si>
  <si>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</si>
  <si>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</si>
  <si>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</si>
  <si>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</si>
  <si>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</si>
  <si>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</si>
  <si>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</si>
  <si>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</si>
  <si>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</si>
  <si>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</si>
  <si>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</si>
  <si>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</si>
  <si>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</si>
  <si>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</si>
  <si>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</si>
  <si>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</si>
  <si>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</si>
  <si>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</si>
  <si>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</si>
  <si>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</si>
  <si>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</si>
  <si>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</si>
  <si>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</si>
  <si>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</si>
  <si>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</si>
  <si>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</si>
  <si>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</si>
  <si>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</si>
  <si>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</si>
  <si>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</si>
  <si>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</si>
  <si>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</si>
  <si>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</si>
  <si>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</si>
  <si>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</si>
  <si>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</si>
  <si>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</si>
  <si>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</si>
  <si>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</si>
  <si>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</si>
  <si>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</si>
  <si>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</si>
  <si>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</si>
  <si>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</si>
  <si>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</si>
  <si>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</si>
  <si>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</si>
  <si>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</si>
  <si>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</si>
  <si>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</si>
  <si>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</si>
  <si>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</si>
  <si>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</si>
  <si>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</si>
  <si>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</si>
  <si>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</si>
  <si>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</si>
  <si>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</si>
  <si>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</si>
  <si>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</si>
  <si>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</si>
  <si>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</si>
  <si>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</si>
  <si>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</si>
  <si>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</si>
  <si>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</si>
  <si>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</si>
  <si>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</si>
  <si>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</si>
  <si>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</si>
  <si>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</si>
  <si>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</si>
  <si>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</si>
  <si>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</si>
  <si>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</si>
  <si>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</si>
  <si>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</si>
  <si>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</si>
  <si>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</si>
  <si>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</si>
  <si>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</si>
  <si>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</si>
  <si>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</si>
  <si>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</si>
  <si>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</si>
  <si>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</si>
  <si>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</si>
  <si>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</si>
  <si>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</si>
  <si>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</si>
  <si>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</si>
  <si>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</si>
  <si>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</si>
  <si>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</si>
  <si>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</si>
  <si>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</si>
  <si>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</si>
  <si>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</si>
  <si>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</si>
  <si>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</si>
  <si>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</si>
  <si>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</si>
  <si>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</si>
  <si>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</si>
  <si>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</si>
  <si>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</si>
  <si>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</si>
  <si>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</si>
  <si>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</si>
  <si>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</si>
  <si>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</si>
  <si>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</si>
  <si>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</si>
  <si>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</si>
  <si>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</si>
  <si>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</si>
  <si>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</si>
  <si>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</si>
  <si>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</si>
  <si>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</si>
  <si>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</si>
  <si>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</si>
  <si>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</si>
  <si>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</si>
  <si>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</si>
  <si>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</si>
  <si>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</si>
  <si>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</si>
  <si>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</si>
  <si>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</si>
  <si>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</si>
  <si>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</si>
  <si>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</si>
  <si>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</si>
  <si>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</si>
  <si>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</si>
  <si>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</si>
  <si>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</si>
  <si>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</si>
  <si>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</si>
  <si>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</si>
  <si>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</si>
  <si>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</si>
  <si>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</si>
  <si>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</si>
  <si>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</si>
  <si>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</si>
  <si>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</si>
  <si>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</si>
  <si>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</si>
  <si>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</si>
  <si>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</si>
  <si>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</si>
  <si>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</si>
  <si>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</si>
  <si>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</si>
  <si>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</si>
  <si>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</si>
  <si>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</si>
  <si>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</si>
  <si>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</si>
  <si>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</si>
  <si>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</si>
  <si>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</si>
  <si>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</si>
  <si>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</si>
  <si>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</si>
  <si>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</si>
  <si>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</si>
  <si>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</si>
  <si>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</si>
  <si>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</si>
  <si>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</si>
  <si>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</si>
  <si>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</si>
  <si>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</si>
  <si>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</si>
  <si>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</si>
  <si>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</si>
  <si>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</si>
  <si>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</si>
  <si>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</si>
  <si>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</si>
  <si>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</si>
  <si>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</si>
  <si>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</si>
  <si>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</si>
  <si>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</si>
  <si>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</si>
  <si>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</si>
  <si>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</si>
  <si>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</si>
  <si>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</si>
  <si>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</si>
  <si>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</si>
  <si>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</si>
  <si>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</si>
  <si>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</si>
  <si>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</si>
  <si>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</si>
  <si>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</si>
  <si>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</si>
  <si>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</si>
  <si>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</si>
  <si>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</si>
  <si>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</si>
  <si>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</si>
  <si>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</si>
  <si>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</si>
  <si>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</si>
  <si>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</si>
  <si>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</si>
  <si>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</si>
  <si>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</si>
  <si>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</si>
  <si>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</si>
  <si>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</si>
  <si>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</si>
  <si>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</si>
  <si>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</si>
  <si>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</si>
  <si>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</si>
  <si>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</si>
  <si>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</si>
  <si>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</si>
  <si>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</si>
  <si>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</si>
  <si>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</si>
  <si>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</si>
  <si>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</si>
  <si>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</si>
  <si>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</si>
  <si>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</si>
  <si>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</si>
  <si>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</si>
  <si>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</si>
  <si>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</si>
  <si>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</si>
  <si>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</si>
  <si>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</si>
  <si>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</si>
  <si>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</si>
  <si>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</si>
  <si>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</si>
  <si>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</si>
  <si>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</si>
  <si>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</si>
  <si>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</si>
  <si>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</si>
  <si>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</si>
  <si>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</si>
  <si>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</si>
  <si>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</si>
  <si>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</si>
  <si>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</si>
  <si>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</si>
  <si>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</si>
  <si>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</si>
  <si>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</si>
  <si>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</si>
  <si>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</si>
  <si>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</si>
  <si>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</si>
  <si>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</si>
  <si>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</si>
  <si>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</si>
  <si>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</si>
  <si>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</si>
  <si>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</si>
  <si>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</si>
  <si>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</si>
  <si>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</si>
  <si>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</si>
  <si>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</si>
  <si>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</si>
  <si>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</si>
  <si>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</si>
  <si>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</si>
  <si>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</si>
  <si>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</si>
  <si>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</si>
  <si>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</si>
  <si>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</si>
  <si>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</si>
  <si>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</si>
  <si>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</si>
  <si>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</si>
  <si>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</si>
  <si>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</si>
  <si>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</si>
  <si>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</si>
  <si>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</si>
  <si>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</si>
  <si>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</si>
  <si>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</si>
  <si>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</si>
  <si>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</si>
  <si>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</si>
  <si>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</si>
  <si>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</si>
  <si>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</si>
  <si>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</si>
  <si>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</si>
  <si>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</si>
  <si>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</si>
  <si>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</si>
  <si>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</si>
  <si>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</si>
  <si>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</si>
  <si>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</si>
  <si>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</si>
  <si>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</si>
  <si>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</si>
  <si>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</si>
  <si>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</si>
  <si>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</si>
  <si>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</si>
  <si>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</si>
  <si>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</si>
  <si>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</si>
  <si>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</si>
  <si>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</si>
  <si>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</si>
  <si>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</si>
  <si>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</si>
  <si>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</si>
  <si>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</si>
  <si>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</si>
  <si>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</si>
  <si>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</si>
  <si>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</si>
  <si>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</si>
  <si>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</si>
  <si>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</si>
  <si>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</si>
  <si>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</si>
  <si>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</si>
  <si>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</si>
  <si>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</si>
  <si>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</si>
  <si>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</si>
  <si>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</si>
  <si>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</si>
  <si>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</si>
  <si>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</si>
  <si>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</si>
  <si>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</si>
  <si>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</si>
  <si>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</si>
  <si>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</si>
  <si>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</si>
  <si>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</si>
  <si>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</si>
  <si>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</si>
  <si>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</si>
  <si>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</si>
  <si>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</si>
  <si>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</si>
  <si>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</si>
  <si>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</si>
  <si>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</si>
  <si>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</si>
  <si>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</si>
  <si>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</si>
  <si>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</si>
  <si>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</si>
  <si>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</si>
  <si>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</si>
  <si>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</si>
  <si>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</si>
  <si>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</si>
  <si>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</si>
  <si>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</si>
  <si>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</si>
  <si>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</si>
  <si>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</si>
  <si>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</si>
  <si>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</si>
  <si>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</si>
  <si>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</si>
  <si>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</si>
  <si>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</si>
  <si>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</si>
  <si>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</si>
  <si>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</si>
  <si>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</si>
  <si>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</si>
  <si>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</si>
  <si>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</si>
  <si>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</si>
  <si>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</si>
  <si>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</si>
  <si>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</si>
  <si>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</si>
  <si>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</si>
  <si>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</si>
  <si>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</si>
  <si>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</si>
  <si>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</si>
  <si>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</si>
  <si>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</si>
  <si>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</si>
  <si>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</si>
  <si>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</si>
  <si>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</si>
  <si>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</si>
  <si>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</si>
  <si>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</si>
  <si>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</si>
  <si>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</si>
  <si>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</si>
  <si>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</si>
  <si>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</si>
  <si>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</si>
  <si>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</si>
  <si>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</si>
  <si>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</si>
  <si>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</si>
  <si>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</si>
  <si>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</si>
  <si>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</si>
  <si>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</si>
  <si>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</si>
  <si>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</si>
  <si>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</si>
  <si>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</si>
  <si>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</si>
  <si>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</si>
  <si>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</si>
  <si>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</si>
  <si>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</si>
  <si>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</si>
  <si>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</si>
  <si>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</si>
  <si>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</si>
  <si>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</si>
  <si>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</si>
  <si>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</si>
  <si>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</si>
  <si>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</si>
  <si>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</si>
  <si>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</si>
  <si>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</si>
  <si>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</si>
  <si>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</si>
  <si>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</si>
  <si>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</si>
  <si>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</si>
  <si>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</si>
  <si>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</si>
  <si>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</si>
  <si>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</si>
  <si>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</si>
  <si>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</si>
  <si>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</si>
  <si>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</si>
  <si>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</si>
  <si>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</si>
  <si>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</si>
  <si>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</si>
  <si>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</si>
  <si>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</si>
  <si>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</si>
  <si>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</si>
  <si>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</si>
  <si>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</si>
  <si>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</si>
  <si>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</si>
  <si>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</si>
  <si>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</si>
  <si>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</si>
  <si>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</si>
  <si>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</si>
  <si>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</si>
  <si>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</si>
  <si>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</si>
  <si>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</si>
  <si>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</si>
  <si>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</si>
  <si>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</si>
  <si>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</si>
  <si>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</si>
  <si>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</si>
  <si>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</si>
  <si>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</si>
  <si>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</si>
  <si>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</si>
  <si>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</si>
  <si>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</si>
  <si>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</si>
  <si>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</si>
  <si>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</si>
  <si>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</si>
  <si>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</si>
  <si>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</si>
  <si>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</si>
  <si>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</si>
  <si>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</si>
  <si>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</si>
  <si>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</si>
  <si>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</si>
  <si>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</si>
  <si>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</si>
  <si>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</si>
  <si>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</si>
  <si>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</si>
  <si>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</si>
  <si>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</si>
  <si>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</si>
  <si>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</si>
  <si>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</si>
  <si>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</si>
  <si>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</si>
  <si>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</si>
  <si>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</si>
  <si>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</si>
  <si>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</si>
  <si>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</si>
  <si>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</si>
  <si>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</si>
  <si>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</si>
  <si>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</si>
  <si>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</si>
  <si>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</si>
  <si>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</si>
  <si>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</si>
  <si>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</si>
  <si>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</si>
  <si>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</si>
  <si>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</si>
  <si>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</si>
  <si>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</si>
  <si>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</si>
  <si>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</si>
  <si>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</si>
  <si>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</si>
  <si>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</si>
  <si>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</si>
  <si>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</si>
  <si>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</si>
  <si>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</si>
  <si>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</si>
  <si>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</si>
  <si>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</si>
  <si>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</si>
  <si>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</si>
  <si>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</si>
  <si>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</si>
  <si>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</si>
  <si>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</si>
  <si>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</si>
  <si>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</si>
  <si>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</si>
  <si>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</si>
  <si>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</si>
  <si>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</si>
  <si>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</si>
  <si>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</si>
  <si>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</si>
  <si>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</si>
  <si>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</si>
  <si>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</si>
  <si>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</si>
  <si>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</si>
  <si>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</si>
  <si>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</si>
  <si>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</si>
  <si>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</si>
  <si>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</si>
  <si>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</si>
  <si>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</si>
  <si>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</si>
  <si>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</si>
  <si>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</si>
  <si>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</si>
  <si>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</si>
  <si>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</si>
  <si>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</si>
  <si>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</si>
  <si>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</si>
  <si>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</si>
  <si>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</si>
  <si>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</si>
  <si>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</si>
  <si>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</si>
  <si>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</si>
  <si>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</si>
  <si>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</si>
  <si>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</si>
  <si>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</si>
  <si>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</si>
  <si>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</si>
  <si>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</si>
  <si>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</si>
  <si>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</si>
  <si>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</si>
  <si>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</si>
  <si>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</si>
  <si>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</si>
  <si>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</si>
  <si>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</si>
  <si>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</si>
  <si>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</si>
  <si>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</si>
  <si>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</si>
  <si>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</si>
  <si>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</si>
  <si>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</si>
  <si>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</si>
  <si>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</si>
  <si>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</si>
  <si>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</si>
  <si>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</si>
  <si>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</si>
  <si>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</si>
  <si>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</si>
  <si>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</si>
  <si>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</si>
  <si>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</si>
  <si>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</si>
  <si>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</si>
  <si>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</si>
  <si>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</si>
  <si>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</si>
  <si>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</si>
  <si>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</si>
  <si>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</si>
  <si>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</si>
  <si>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</si>
  <si>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</si>
  <si>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</si>
  <si>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</si>
  <si>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</si>
  <si>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</si>
  <si>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</si>
  <si>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</si>
  <si>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</si>
  <si>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</si>
  <si>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</si>
  <si>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</si>
  <si>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</si>
  <si>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</si>
  <si>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</si>
  <si>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</si>
  <si>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</si>
  <si>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</si>
  <si>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</si>
  <si>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</si>
  <si>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</si>
  <si>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</si>
  <si>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</si>
  <si>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</si>
  <si>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</si>
  <si>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</si>
  <si>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</si>
  <si>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</si>
  <si>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</si>
  <si>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</si>
  <si>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</si>
  <si>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</si>
  <si>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</si>
  <si>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</si>
  <si>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</si>
  <si>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</si>
  <si>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</si>
  <si>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</si>
  <si>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</si>
  <si>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</si>
  <si>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</si>
  <si>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</si>
  <si>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</si>
  <si>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</si>
  <si>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</si>
  <si>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</si>
  <si>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</si>
  <si>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</si>
  <si>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</si>
  <si>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</si>
  <si>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</si>
  <si>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</si>
  <si>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</si>
  <si>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</si>
  <si>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</si>
  <si>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</si>
  <si>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</si>
  <si>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</si>
  <si>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</si>
  <si>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</si>
  <si>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</si>
  <si>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</si>
  <si>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</si>
  <si>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</si>
  <si>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</si>
  <si>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</si>
  <si>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</si>
  <si>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</si>
  <si>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</si>
  <si>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</si>
  <si>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</si>
  <si>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</si>
  <si>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</si>
  <si>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</si>
  <si>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</si>
  <si>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</si>
  <si>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</si>
  <si>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</si>
  <si>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</si>
  <si>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</si>
  <si>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</si>
  <si>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</si>
  <si>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</si>
  <si>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</si>
  <si>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</si>
  <si>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</si>
  <si>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</si>
  <si>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</si>
  <si>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</si>
  <si>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</si>
  <si>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</si>
  <si>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</si>
  <si>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</si>
  <si>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</si>
  <si>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</si>
  <si>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</si>
  <si>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</si>
  <si>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</si>
  <si>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</si>
  <si>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</si>
  <si>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</si>
  <si>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</si>
  <si>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</si>
  <si>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</si>
  <si>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</si>
  <si>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</si>
  <si>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</si>
  <si>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</si>
  <si>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</si>
  <si>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</si>
  <si>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</si>
  <si>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</si>
  <si>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</si>
  <si>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</si>
  <si>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</si>
  <si>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</si>
  <si>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</si>
  <si>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</si>
  <si>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</si>
  <si>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</si>
  <si>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</si>
  <si>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</si>
  <si>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</si>
  <si>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</si>
  <si>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</si>
  <si>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</si>
  <si>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</si>
  <si>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</si>
  <si>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</si>
  <si>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</si>
  <si>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</si>
  <si>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</si>
  <si>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</si>
  <si>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</si>
  <si>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</si>
  <si>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</si>
  <si>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</si>
  <si>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</si>
  <si>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</si>
  <si>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</si>
  <si>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</si>
  <si>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</si>
  <si>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</si>
  <si>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</si>
  <si>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</si>
  <si>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</si>
  <si>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</si>
  <si>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</si>
  <si>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</si>
  <si>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</si>
  <si>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</si>
  <si>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</si>
  <si>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</si>
  <si>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</si>
  <si>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</si>
  <si>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</si>
  <si>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</si>
  <si>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</si>
  <si>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</si>
  <si>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</si>
  <si>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</si>
  <si>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</si>
  <si>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</si>
  <si>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</si>
  <si>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</si>
  <si>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</si>
  <si>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</si>
  <si>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</si>
  <si>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</si>
  <si>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</si>
  <si>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</si>
  <si>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</si>
  <si>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</si>
  <si>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</si>
  <si>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</si>
  <si>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</si>
  <si>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</si>
  <si>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</si>
  <si>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</si>
  <si>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</si>
  <si>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</si>
  <si>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</si>
  <si>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</si>
  <si>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</si>
  <si>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</si>
  <si>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</si>
  <si>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</si>
  <si>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</si>
  <si>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</si>
  <si>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</si>
  <si>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</si>
  <si>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</si>
  <si>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</si>
  <si>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</si>
  <si>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</si>
  <si>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</si>
  <si>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</si>
  <si>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</si>
  <si>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</si>
  <si>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</si>
  <si>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</si>
  <si>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</si>
  <si>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</si>
  <si>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</si>
  <si>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</si>
  <si>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</si>
  <si>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</si>
  <si>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</si>
  <si>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</si>
  <si>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</si>
  <si>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</si>
  <si>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</si>
  <si>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</si>
  <si>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</si>
  <si>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</si>
  <si>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</si>
  <si>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</si>
  <si>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</si>
  <si>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</si>
  <si>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</si>
  <si>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</si>
  <si>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</si>
  <si>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</si>
  <si>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</si>
  <si>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</si>
  <si>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</si>
  <si>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</si>
  <si>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</si>
  <si>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</si>
  <si>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</si>
  <si>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</si>
  <si>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</si>
  <si>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</si>
  <si>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</si>
  <si>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</si>
  <si>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</si>
  <si>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</si>
  <si>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</si>
  <si>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</si>
  <si>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</si>
  <si>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</si>
  <si>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</si>
  <si>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</si>
  <si>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</si>
  <si>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</si>
  <si>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</si>
  <si>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</si>
  <si>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</si>
  <si>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</si>
  <si>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</si>
  <si>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</si>
  <si>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</si>
  <si>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</si>
  <si>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</si>
  <si>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</si>
  <si>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</si>
  <si>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</si>
  <si>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</si>
  <si>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</si>
  <si>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</si>
  <si>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</si>
  <si>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</si>
  <si>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</si>
  <si>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</si>
  <si>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</si>
  <si>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</si>
  <si>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</si>
  <si>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</si>
  <si>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</si>
  <si>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</si>
  <si>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</si>
  <si>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</si>
  <si>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</si>
  <si>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</si>
  <si>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</si>
  <si>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</si>
  <si>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</si>
  <si>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</si>
  <si>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</si>
  <si>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</si>
  <si>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</si>
  <si>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</si>
  <si>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</si>
  <si>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</si>
  <si>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</si>
  <si>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</si>
  <si>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</si>
  <si>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</si>
  <si>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</si>
  <si>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</si>
  <si>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</si>
  <si>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</si>
  <si>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</si>
  <si>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</si>
  <si>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</si>
  <si>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</si>
  <si>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</si>
  <si>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</si>
  <si>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</si>
  <si>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</si>
  <si>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</si>
  <si>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</si>
  <si>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</si>
  <si>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</si>
  <si>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</si>
  <si>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</si>
  <si>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</si>
  <si>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</si>
  <si>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</si>
  <si>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</si>
  <si>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</si>
  <si>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</si>
  <si>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</si>
  <si>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</si>
  <si>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</si>
  <si>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</si>
  <si>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</si>
  <si>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</si>
  <si>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</si>
  <si>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</si>
  <si>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</si>
  <si>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</si>
  <si>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</si>
  <si>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</si>
  <si>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</si>
  <si>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</si>
  <si>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</si>
  <si>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</si>
  <si>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</si>
  <si>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</si>
  <si>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</si>
  <si>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</si>
  <si>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</si>
  <si>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</si>
  <si>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</si>
  <si>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</si>
  <si>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</si>
  <si>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</si>
  <si>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</si>
  <si>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</si>
  <si>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</si>
  <si>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</si>
  <si>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</si>
  <si>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</si>
  <si>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</si>
  <si>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</si>
  <si>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</si>
  <si>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</si>
  <si>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</si>
  <si>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</si>
  <si>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</si>
  <si>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</si>
  <si>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</si>
  <si>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</si>
  <si>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</si>
  <si>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</si>
  <si>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</si>
  <si>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</si>
  <si>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</si>
  <si>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</si>
  <si>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</si>
  <si>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</si>
  <si>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</si>
  <si>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</si>
  <si>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</si>
  <si>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</si>
  <si>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</si>
  <si>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</si>
  <si>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</si>
  <si>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</si>
  <si>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</si>
  <si>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</si>
  <si>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</si>
  <si>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</si>
  <si>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</si>
  <si>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</si>
  <si>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</si>
  <si>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</si>
  <si>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</si>
  <si>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</si>
  <si>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</si>
  <si>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</si>
  <si>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</si>
  <si>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</si>
  <si>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</si>
  <si>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</si>
  <si>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</si>
  <si>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</si>
  <si>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</si>
  <si>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</si>
  <si>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</si>
  <si>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</si>
  <si>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</si>
  <si>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</si>
  <si>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</si>
  <si>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</si>
  <si>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</si>
  <si>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</si>
  <si>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</si>
  <si>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</si>
  <si>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</si>
  <si>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</si>
  <si>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</si>
  <si>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</si>
  <si>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</si>
  <si>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</si>
  <si>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</si>
  <si>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</si>
  <si>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</si>
  <si>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</si>
  <si>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</si>
  <si>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</si>
  <si>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</si>
  <si>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</si>
  <si>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</si>
  <si>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</si>
  <si>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</si>
  <si>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</si>
  <si>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</si>
  <si>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</si>
  <si>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</si>
  <si>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</si>
  <si>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</si>
  <si>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</si>
  <si>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</si>
  <si>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</si>
  <si>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</si>
  <si>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</si>
  <si>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</si>
  <si>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</si>
  <si>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</si>
  <si>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</si>
  <si>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</si>
  <si>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</si>
  <si>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</si>
  <si>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</si>
  <si>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</si>
  <si>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</si>
  <si>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</si>
  <si>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</si>
  <si>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</si>
  <si>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</si>
  <si>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</si>
  <si>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</si>
  <si>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</si>
  <si>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</si>
  <si>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</si>
  <si>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</si>
  <si>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</si>
  <si>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</si>
  <si>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</si>
  <si>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</si>
  <si>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</si>
  <si>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</si>
  <si>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</si>
  <si>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</si>
  <si>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</si>
  <si>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</si>
  <si>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</si>
  <si>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</si>
  <si>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</si>
  <si>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</si>
  <si>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</si>
  <si>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</si>
  <si>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</si>
  <si>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</si>
  <si>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</si>
  <si>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</si>
  <si>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</si>
  <si>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</si>
  <si>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</si>
  <si>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</si>
  <si>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</si>
  <si>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</si>
  <si>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</si>
  <si>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</si>
  <si>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</si>
  <si>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</si>
  <si>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</si>
  <si>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</si>
  <si>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</si>
  <si>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</si>
  <si>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</si>
  <si>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</si>
  <si>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</si>
  <si>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</si>
  <si>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</si>
  <si>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</si>
  <si>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</si>
  <si>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</si>
  <si>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</si>
  <si>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</si>
  <si>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</si>
  <si>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</si>
  <si>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</si>
  <si>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</si>
  <si>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</si>
  <si>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</si>
  <si>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</si>
  <si>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</si>
  <si>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</si>
  <si>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</si>
  <si>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</si>
  <si>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</si>
  <si>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</si>
  <si>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</si>
  <si>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</si>
  <si>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</si>
  <si>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</si>
  <si>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</si>
  <si>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</si>
  <si>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</si>
  <si>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</si>
  <si>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</si>
  <si>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</si>
  <si>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</si>
  <si>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</si>
  <si>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</si>
  <si>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</si>
  <si>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</si>
  <si>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</si>
  <si>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</si>
  <si>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</si>
  <si>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</si>
  <si>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</si>
  <si>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</si>
  <si>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</si>
  <si>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</si>
  <si>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</si>
  <si>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</si>
  <si>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</si>
  <si>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</si>
  <si>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</si>
  <si>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</si>
  <si>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</si>
  <si>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</si>
  <si>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</si>
  <si>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</si>
  <si>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</si>
  <si>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</si>
  <si>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</si>
  <si>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</si>
  <si>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</si>
  <si>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</si>
  <si>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</si>
  <si>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</si>
  <si>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</si>
  <si>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</si>
  <si>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</si>
  <si>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</si>
  <si>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</si>
  <si>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</si>
  <si>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</si>
  <si>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</si>
  <si>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</si>
  <si>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</si>
  <si>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</si>
  <si>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</si>
  <si>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</si>
  <si>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</si>
  <si>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</si>
  <si>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</si>
  <si>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</si>
  <si>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</si>
  <si>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</si>
  <si>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</si>
  <si>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</si>
  <si>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</si>
  <si>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</si>
  <si>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</si>
  <si>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</si>
  <si>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</si>
  <si>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</si>
  <si>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</si>
  <si>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</si>
  <si>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</si>
  <si>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</si>
  <si>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</si>
  <si>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</si>
  <si>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</si>
  <si>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</si>
  <si>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</si>
  <si>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</si>
  <si>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</si>
  <si>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</si>
  <si>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</si>
  <si>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</si>
  <si>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</si>
  <si>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</si>
  <si>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</si>
  <si>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</si>
  <si>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</si>
  <si>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</si>
  <si>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</si>
  <si>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</si>
  <si>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</si>
  <si>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</si>
  <si>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</si>
  <si>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</si>
  <si>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</si>
  <si>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</si>
  <si>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</si>
  <si>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</si>
  <si>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</si>
  <si>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</si>
  <si>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</si>
  <si>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</si>
  <si>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</si>
  <si>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</si>
  <si>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</si>
  <si>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</si>
  <si>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</si>
  <si>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</si>
  <si>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</si>
  <si>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</si>
  <si>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</si>
  <si>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</si>
  <si>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</si>
  <si>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</si>
  <si>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</si>
  <si>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</si>
  <si>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</si>
  <si>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</si>
  <si>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</si>
  <si>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</si>
  <si>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</si>
  <si>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</si>
  <si>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</si>
  <si>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</si>
  <si>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</si>
  <si>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</si>
  <si>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</si>
  <si>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</si>
  <si>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</si>
  <si>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</si>
  <si>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</si>
  <si>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</si>
  <si>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</si>
  <si>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</si>
  <si>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</si>
  <si>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</si>
  <si>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</si>
  <si>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</si>
  <si>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</si>
  <si>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</si>
  <si>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</si>
  <si>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</si>
  <si>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</si>
  <si>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</si>
  <si>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</si>
  <si>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</si>
  <si>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</si>
  <si>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</si>
  <si>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</si>
  <si>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</si>
  <si>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</si>
  <si>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</si>
  <si>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</si>
  <si>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</si>
  <si>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</si>
  <si>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</si>
  <si>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</si>
  <si>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</si>
  <si>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</si>
  <si>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</si>
  <si>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</si>
  <si>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</si>
  <si>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</si>
  <si>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</si>
  <si>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</si>
  <si>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</si>
  <si>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</si>
  <si>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</si>
  <si>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</si>
  <si>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</si>
  <si>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</si>
  <si>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</si>
  <si>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</si>
  <si>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</si>
  <si>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</si>
  <si>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</si>
  <si>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</si>
  <si>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</si>
  <si>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</si>
  <si>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</si>
  <si>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</si>
  <si>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</si>
  <si>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</si>
  <si>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</si>
  <si>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</si>
  <si>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</si>
  <si>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</si>
  <si>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</si>
  <si>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</si>
  <si>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</si>
  <si>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</si>
  <si>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</si>
  <si>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</si>
  <si>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</si>
  <si>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</si>
  <si>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</si>
  <si>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</si>
  <si>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</si>
  <si>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</si>
  <si>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</si>
  <si>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</si>
  <si>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</si>
  <si>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</si>
  <si>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</si>
  <si>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</si>
  <si>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</si>
  <si>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</si>
  <si>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</si>
  <si>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</si>
  <si>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</si>
  <si>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</si>
  <si>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</si>
  <si>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</si>
  <si>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</si>
  <si>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</si>
  <si>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</si>
  <si>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</si>
  <si>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</si>
  <si>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</si>
  <si>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</si>
  <si>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</si>
  <si>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</si>
  <si>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</si>
  <si>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</si>
  <si>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</si>
  <si>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</si>
  <si>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</si>
  <si>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</si>
  <si>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</si>
  <si>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</si>
  <si>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</si>
  <si>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</si>
  <si>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</si>
  <si>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</si>
  <si>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</si>
  <si>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</si>
  <si>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</si>
  <si>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</si>
  <si>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</si>
  <si>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</si>
  <si>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</si>
  <si>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</si>
  <si>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</si>
  <si>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</si>
  <si>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</si>
  <si>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</si>
  <si>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</si>
  <si>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</si>
  <si>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</si>
  <si>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</si>
  <si>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</si>
  <si>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</si>
  <si>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</si>
  <si>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</si>
  <si>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</si>
  <si>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</si>
  <si>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</si>
  <si>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</si>
  <si>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</si>
  <si>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</si>
  <si>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</si>
  <si>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</si>
  <si>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</si>
  <si>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</si>
  <si>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</si>
  <si>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</si>
  <si>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</si>
  <si>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</si>
  <si>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</si>
  <si>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</si>
  <si>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</si>
  <si>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</si>
  <si>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</si>
  <si>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</si>
  <si>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</si>
  <si>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</si>
  <si>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</si>
  <si>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</si>
  <si>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</si>
  <si>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</si>
  <si>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</si>
  <si>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</si>
  <si>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</si>
  <si>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</si>
  <si>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</si>
  <si>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</si>
  <si>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</si>
  <si>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</si>
  <si>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</si>
  <si>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</si>
  <si>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</si>
  <si>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</si>
  <si>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</si>
  <si>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</si>
  <si>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</si>
  <si>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</si>
  <si>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</si>
  <si>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</si>
  <si>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</si>
  <si>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</si>
  <si>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</si>
  <si>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</si>
  <si>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</si>
  <si>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</si>
  <si>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</si>
  <si>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</si>
  <si>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</si>
  <si>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</si>
  <si>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</si>
  <si>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</si>
  <si>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</si>
  <si>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</si>
  <si>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</si>
  <si>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</si>
  <si>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</si>
  <si>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</si>
  <si>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</si>
  <si>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</si>
  <si>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</si>
  <si>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</si>
  <si>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</si>
  <si>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</si>
  <si>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</si>
  <si>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</si>
  <si>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</si>
  <si>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</si>
  <si>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</si>
  <si>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</si>
  <si>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</si>
  <si>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</si>
  <si>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</si>
  <si>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</si>
  <si>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</si>
  <si>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</si>
  <si>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</si>
  <si>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</si>
  <si>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</si>
  <si>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</si>
  <si>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</si>
  <si>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</si>
  <si>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</si>
  <si>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</si>
  <si>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</si>
  <si>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</si>
  <si>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</si>
  <si>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</si>
  <si>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</si>
  <si>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</si>
  <si>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</si>
  <si>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</si>
  <si>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</si>
  <si>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</si>
  <si>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</si>
  <si>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</si>
  <si>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</si>
  <si>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</si>
  <si>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</si>
  <si>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</si>
  <si>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</si>
  <si>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</si>
  <si>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</si>
  <si>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</si>
  <si>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</si>
  <si>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</si>
  <si>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</si>
  <si>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</si>
  <si>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</si>
  <si>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</si>
  <si>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</si>
  <si>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</si>
  <si>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</si>
  <si>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</si>
  <si>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</si>
  <si>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</si>
  <si>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</si>
  <si>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</si>
  <si>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</si>
  <si>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</si>
  <si>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</si>
  <si>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</si>
  <si>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</si>
  <si>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</si>
  <si>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</si>
  <si>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</si>
  <si>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</si>
  <si>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</si>
  <si>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</si>
  <si>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</si>
  <si>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</si>
  <si>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</si>
  <si>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</si>
  <si>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</si>
  <si>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</si>
  <si>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</si>
  <si>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</si>
  <si>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</si>
  <si>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</si>
  <si>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</si>
  <si>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</si>
  <si>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</si>
  <si>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</si>
  <si>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</si>
  <si>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</si>
  <si>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</si>
  <si>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</si>
  <si>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</si>
  <si>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</si>
  <si>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</si>
  <si>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</si>
  <si>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</si>
  <si>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</si>
  <si>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</si>
  <si>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</si>
  <si>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</si>
  <si>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</si>
  <si>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</si>
  <si>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</si>
  <si>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</si>
  <si>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</si>
  <si>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</si>
  <si>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</si>
  <si>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</si>
  <si>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</si>
  <si>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</si>
  <si>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</si>
  <si>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</si>
  <si>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</si>
  <si>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</si>
  <si>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</si>
  <si>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</si>
  <si>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</si>
  <si>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</si>
  <si>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</si>
  <si>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</si>
  <si>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</si>
  <si>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</si>
  <si>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</si>
  <si>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</si>
  <si>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</si>
  <si>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</si>
  <si>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</si>
  <si>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</si>
  <si>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</si>
  <si>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</si>
  <si>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</si>
  <si>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</si>
  <si>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</si>
  <si>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</si>
  <si>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</si>
  <si>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</si>
  <si>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</si>
  <si>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</si>
  <si>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</si>
  <si>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</si>
  <si>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</si>
  <si>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</si>
  <si>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</si>
  <si>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</si>
  <si>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</si>
  <si>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</si>
  <si>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</si>
  <si>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</si>
  <si>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</si>
  <si>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</si>
  <si>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</si>
  <si>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</si>
  <si>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</si>
  <si>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</si>
  <si>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</si>
  <si>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</si>
  <si>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</si>
  <si>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</si>
  <si>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</si>
  <si>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</si>
  <si>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</si>
  <si>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</si>
  <si>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</si>
  <si>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</si>
  <si>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</si>
  <si>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</si>
  <si>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</si>
  <si>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</si>
  <si>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</si>
  <si>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</si>
  <si>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</si>
  <si>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</si>
  <si>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</si>
  <si>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</si>
  <si>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</si>
  <si>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</si>
  <si>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</si>
  <si>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</si>
  <si>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</si>
  <si>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</si>
  <si>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</si>
  <si>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</si>
  <si>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</si>
  <si>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</si>
  <si>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</si>
  <si>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</si>
  <si>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</si>
  <si>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</si>
  <si>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</si>
  <si>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</si>
  <si>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</si>
  <si>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</si>
  <si>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</si>
  <si>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</si>
  <si>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</si>
  <si>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</si>
  <si>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</si>
  <si>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</si>
  <si>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</si>
  <si>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</si>
  <si>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</si>
  <si>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</si>
  <si>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</si>
  <si>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</si>
  <si>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</si>
  <si>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</si>
  <si>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</si>
  <si>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</si>
  <si>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</si>
  <si>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</si>
  <si>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</si>
  <si>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</si>
  <si>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</si>
  <si>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</si>
  <si>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</si>
  <si>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</si>
  <si>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</si>
  <si>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</si>
  <si>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</si>
  <si>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</si>
  <si>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</si>
  <si>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</si>
  <si>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</si>
  <si>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</si>
  <si>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</si>
  <si>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</si>
  <si>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</si>
  <si>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</si>
  <si>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</si>
  <si>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</si>
  <si>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</si>
  <si>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</si>
  <si>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</si>
  <si>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</si>
  <si>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</si>
  <si>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</si>
  <si>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</si>
  <si>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</si>
  <si>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</si>
  <si>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</si>
  <si>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</si>
  <si>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</si>
  <si>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</si>
  <si>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</si>
  <si>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</si>
  <si>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</si>
  <si>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</si>
  <si>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</si>
  <si>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</si>
  <si>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</si>
  <si>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</si>
  <si>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</si>
  <si>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</si>
  <si>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</si>
  <si>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</si>
  <si>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</si>
  <si>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</si>
  <si>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</si>
  <si>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</si>
  <si>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</si>
  <si>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</si>
  <si>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</si>
  <si>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</si>
  <si>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</si>
  <si>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</si>
  <si>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</si>
  <si>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</si>
  <si>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</si>
  <si>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</si>
  <si>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</si>
  <si>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</si>
  <si>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</si>
  <si>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</si>
  <si>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</si>
  <si>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</si>
  <si>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</si>
  <si>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</si>
  <si>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</si>
  <si>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</si>
  <si>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</si>
  <si>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</si>
  <si>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</si>
  <si>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</si>
  <si>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</si>
  <si>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</si>
  <si>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</si>
  <si>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</si>
  <si>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</si>
  <si>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</si>
  <si>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</si>
  <si>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</si>
  <si>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</si>
  <si>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</si>
  <si>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</si>
  <si>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</si>
  <si>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</si>
  <si>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</si>
  <si>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</si>
  <si>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</si>
  <si>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</si>
  <si>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</si>
  <si>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</si>
  <si>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</si>
  <si>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</si>
  <si>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</si>
  <si>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</si>
  <si>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</si>
  <si>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</si>
  <si>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</si>
  <si>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</si>
  <si>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</si>
  <si>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</si>
  <si>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</si>
  <si>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</si>
  <si>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</si>
  <si>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</si>
  <si>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</si>
  <si>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</si>
  <si>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</si>
  <si>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</si>
  <si>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</si>
  <si>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</si>
  <si>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</si>
  <si>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</si>
  <si>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</si>
  <si>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</si>
  <si>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</si>
  <si>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</si>
  <si>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</si>
  <si>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</si>
  <si>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</si>
  <si>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</si>
  <si>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</si>
  <si>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</si>
  <si>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</si>
  <si>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</si>
  <si>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</si>
  <si>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</si>
  <si>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</si>
  <si>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</si>
  <si>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</si>
  <si>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</si>
  <si>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</si>
  <si>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</si>
  <si>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</si>
  <si>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</si>
  <si>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</si>
  <si>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</si>
  <si>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</si>
  <si>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</si>
  <si>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</si>
  <si>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</si>
  <si>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</si>
  <si>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</si>
  <si>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</si>
  <si>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</si>
  <si>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</si>
  <si>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</si>
  <si>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</si>
  <si>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</si>
  <si>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</si>
  <si>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</si>
  <si>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</si>
  <si>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</si>
  <si>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</si>
  <si>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</si>
  <si>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</si>
  <si>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</si>
  <si>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</si>
  <si>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</si>
  <si>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</si>
  <si>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</si>
  <si>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</si>
  <si>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</si>
  <si>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</si>
  <si>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</si>
  <si>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</si>
  <si>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</si>
  <si>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</si>
  <si>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</si>
  <si>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</si>
  <si>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</si>
  <si>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</si>
  <si>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</si>
  <si>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</si>
  <si>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</si>
  <si>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</si>
  <si>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</si>
  <si>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</si>
  <si>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</si>
  <si>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</si>
  <si>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</si>
  <si>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</si>
  <si>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</si>
  <si>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</si>
  <si>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</si>
  <si>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</si>
  <si>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</si>
  <si>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</si>
  <si>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</si>
  <si>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</si>
  <si>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</si>
  <si>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</si>
  <si>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</si>
  <si>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</si>
  <si>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</si>
  <si>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</si>
  <si>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</si>
  <si>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</si>
  <si>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</si>
  <si>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</si>
  <si>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</si>
  <si>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</si>
  <si>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</si>
  <si>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</si>
  <si>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</si>
  <si>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</si>
  <si>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</si>
  <si>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</si>
  <si>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</si>
  <si>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</si>
  <si>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</si>
  <si>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</si>
  <si>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</si>
  <si>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</si>
  <si>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</si>
  <si>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</si>
  <si>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</si>
  <si>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</si>
  <si>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</si>
  <si>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</si>
  <si>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</si>
  <si>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</si>
  <si>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</si>
  <si>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</si>
  <si>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</si>
  <si>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</si>
  <si>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</si>
  <si>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</si>
  <si>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</si>
  <si>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</si>
  <si>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</si>
  <si>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</si>
  <si>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</si>
  <si>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</si>
  <si>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</si>
  <si>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</si>
  <si>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</si>
  <si>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</si>
  <si>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</si>
  <si>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</si>
  <si>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</si>
  <si>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</si>
  <si>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</si>
  <si>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</si>
  <si>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</si>
  <si>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</si>
  <si>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</si>
  <si>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</si>
  <si>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</si>
  <si>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</si>
  <si>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</si>
  <si>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</si>
  <si>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</si>
  <si>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</si>
  <si>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</si>
  <si>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</si>
  <si>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</si>
  <si>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</si>
  <si>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</si>
  <si>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</si>
  <si>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</si>
  <si>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</si>
  <si>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</si>
  <si>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</si>
  <si>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</si>
  <si>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</si>
  <si>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</si>
  <si>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</si>
  <si>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</si>
  <si>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</si>
  <si>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</si>
  <si>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</si>
  <si>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</si>
  <si>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</si>
  <si>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</si>
  <si>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</si>
  <si>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</si>
  <si>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</si>
  <si>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</si>
  <si>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</si>
  <si>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</si>
  <si>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</si>
  <si>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</si>
  <si>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</si>
  <si>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</si>
  <si>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</si>
  <si>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</si>
  <si>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</si>
  <si>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</si>
  <si>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</si>
  <si>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</si>
  <si>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</si>
  <si>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</si>
  <si>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</si>
  <si>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</si>
  <si>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</si>
  <si>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</si>
  <si>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</si>
  <si>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</si>
  <si>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</si>
  <si>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</si>
  <si>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</si>
  <si>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</si>
  <si>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</si>
  <si>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</si>
  <si>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</si>
  <si>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</si>
  <si>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</si>
  <si>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</si>
  <si>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</si>
  <si>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</si>
  <si>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</si>
  <si>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</si>
  <si>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</si>
  <si>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</si>
  <si>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</si>
  <si>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</si>
  <si>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</si>
  <si>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</si>
  <si>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</si>
  <si>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</si>
  <si>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</si>
  <si>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</si>
  <si>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</si>
  <si>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</si>
  <si>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</si>
  <si>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</si>
  <si>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</si>
  <si>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</si>
  <si>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</si>
  <si>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</si>
  <si>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</si>
  <si>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</si>
  <si>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</si>
  <si>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</si>
  <si>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</si>
  <si>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</si>
  <si>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</si>
  <si>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</si>
  <si>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</si>
  <si>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</si>
  <si>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</si>
  <si>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</si>
  <si>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</si>
  <si>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</si>
  <si>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</si>
  <si>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</si>
  <si>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</si>
  <si>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</si>
  <si>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</si>
  <si>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</si>
  <si>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</si>
  <si>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</si>
  <si>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</si>
  <si>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</si>
  <si>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</si>
  <si>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</si>
  <si>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</si>
  <si>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</si>
  <si>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</si>
  <si>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</si>
  <si>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</si>
  <si>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</si>
  <si>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</si>
  <si>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</si>
  <si>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</si>
  <si>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</si>
  <si>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</si>
  <si>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</si>
  <si>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</si>
  <si>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</si>
  <si>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</si>
  <si>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</si>
  <si>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</si>
  <si>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</si>
  <si>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</si>
  <si>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</si>
  <si>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</si>
  <si>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</si>
  <si>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</si>
  <si>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</si>
  <si>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</si>
  <si>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</si>
  <si>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</si>
  <si>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</si>
  <si>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</si>
  <si>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</si>
  <si>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</si>
  <si>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</si>
  <si>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</si>
  <si>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</si>
  <si>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</si>
  <si>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</si>
  <si>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</si>
  <si>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</si>
  <si>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</si>
  <si>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</si>
  <si>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</si>
  <si>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</si>
  <si>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</si>
  <si>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</si>
  <si>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</si>
  <si>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</si>
  <si>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</si>
  <si>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</si>
  <si>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</si>
  <si>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</si>
  <si>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</si>
  <si>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</si>
  <si>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</si>
  <si>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</si>
  <si>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</si>
  <si>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</si>
  <si>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</si>
  <si>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</si>
  <si>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</si>
  <si>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</si>
  <si>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</si>
  <si>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</si>
  <si>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</si>
  <si>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</si>
  <si>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</si>
  <si>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</si>
  <si>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</si>
  <si>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</si>
  <si>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</si>
  <si>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</si>
  <si>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</si>
  <si>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</si>
  <si>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</si>
  <si>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</si>
  <si>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</si>
  <si>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</si>
  <si>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</si>
  <si>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</si>
  <si>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</si>
  <si>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</si>
  <si>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</si>
  <si>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</si>
  <si>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</si>
  <si>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</si>
  <si>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</si>
  <si>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</si>
  <si>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</si>
  <si>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</si>
  <si>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</si>
  <si>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</si>
  <si>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</si>
  <si>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</si>
  <si>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</si>
  <si>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</si>
  <si>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</si>
  <si>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</si>
  <si>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</si>
  <si>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</si>
  <si>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</si>
  <si>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</si>
  <si>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</si>
  <si>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</si>
  <si>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</si>
  <si>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</si>
  <si>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</si>
  <si>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</si>
  <si>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</si>
  <si>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</si>
  <si>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</si>
  <si>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</si>
  <si>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</si>
  <si>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</si>
  <si>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</si>
  <si>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</si>
  <si>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</si>
  <si>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</si>
  <si>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</si>
  <si>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</si>
  <si>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</si>
  <si>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</si>
  <si>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</si>
  <si>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</si>
  <si>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</si>
  <si>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</si>
  <si>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</si>
  <si>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</si>
  <si>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</si>
  <si>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</si>
  <si>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</si>
  <si>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</si>
  <si>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</si>
  <si>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</si>
  <si>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</si>
  <si>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</si>
  <si>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</si>
  <si>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</si>
  <si>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</si>
  <si>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</si>
  <si>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</si>
  <si>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</si>
  <si>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</si>
  <si>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</si>
  <si>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</si>
  <si>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</si>
  <si>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</si>
  <si>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</si>
  <si>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</si>
  <si>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</si>
  <si>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</si>
  <si>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</si>
  <si>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</si>
  <si>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</si>
  <si>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</si>
  <si>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</si>
  <si>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</si>
  <si>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</si>
  <si>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</si>
  <si>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</si>
  <si>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</si>
  <si>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</si>
  <si>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</si>
  <si>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</si>
  <si>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</si>
  <si>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</si>
  <si>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</si>
  <si>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</si>
  <si>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</si>
  <si>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</si>
  <si>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</si>
  <si>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</si>
  <si>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</si>
  <si>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</si>
  <si>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</si>
  <si>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</si>
  <si>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</si>
  <si>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</si>
  <si>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</si>
  <si>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</si>
  <si>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</si>
  <si>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</si>
  <si>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</si>
  <si>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</si>
  <si>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</si>
  <si>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</si>
  <si>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</si>
  <si>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</si>
  <si>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</si>
  <si>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</si>
  <si>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</si>
  <si>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</si>
  <si>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</si>
  <si>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</si>
  <si>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</si>
  <si>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</si>
  <si>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</si>
  <si>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</si>
  <si>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</si>
  <si>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</si>
  <si>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</si>
  <si>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</si>
  <si>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</si>
  <si>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</si>
  <si>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</si>
  <si>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</si>
  <si>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</si>
  <si>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</si>
  <si>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</si>
  <si>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</si>
  <si>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</si>
  <si>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</si>
  <si>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</si>
  <si>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</si>
  <si>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</si>
  <si>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</si>
  <si>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</si>
  <si>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</si>
  <si>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</si>
  <si>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</si>
  <si>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</si>
  <si>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</si>
  <si>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</si>
  <si>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</si>
  <si>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</si>
  <si>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</si>
  <si>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</si>
  <si>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</si>
  <si>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</si>
  <si>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</si>
  <si>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</si>
  <si>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</si>
  <si>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</si>
  <si>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</si>
  <si>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</si>
  <si>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</si>
  <si>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</si>
  <si>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</si>
  <si>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</si>
  <si>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</si>
  <si>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</si>
  <si>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</si>
  <si>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</si>
  <si>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</si>
  <si>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</si>
  <si>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</si>
  <si>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</si>
  <si>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</si>
  <si>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</si>
  <si>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</si>
  <si>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</si>
  <si>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</si>
  <si>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</si>
  <si>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</si>
  <si>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</si>
  <si>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</si>
  <si>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</si>
  <si>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</si>
  <si>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</si>
  <si>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</si>
  <si>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</si>
  <si>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</si>
  <si>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</si>
  <si>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</si>
  <si>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</si>
  <si>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</si>
  <si>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</si>
  <si>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</si>
  <si>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</si>
  <si>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</si>
  <si>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</si>
  <si>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</si>
  <si>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</si>
  <si>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</si>
  <si>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</si>
  <si>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</si>
  <si>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</si>
  <si>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</si>
  <si>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</si>
  <si>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</si>
  <si>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</si>
  <si>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</si>
  <si>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</si>
  <si>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</si>
  <si>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</si>
  <si>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</si>
  <si>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</si>
  <si>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</si>
  <si>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</si>
  <si>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</si>
  <si>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</si>
  <si>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</si>
  <si>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</si>
  <si>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</si>
  <si>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</si>
  <si>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</si>
  <si>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</si>
  <si>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</si>
  <si>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</si>
  <si>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</si>
  <si>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</si>
  <si>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</si>
  <si>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</si>
  <si>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</si>
  <si>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</si>
  <si>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</si>
  <si>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</si>
  <si>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</si>
  <si>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</si>
  <si>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</si>
  <si>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</si>
  <si>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</si>
  <si>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</si>
  <si>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</si>
  <si>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</si>
  <si>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</si>
  <si>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</si>
  <si>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</si>
  <si>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</si>
  <si>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</si>
  <si>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</si>
  <si>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</si>
  <si>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</si>
  <si>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</si>
  <si>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</si>
  <si>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</si>
  <si>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</si>
  <si>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</si>
  <si>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</si>
  <si>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</si>
  <si>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</si>
  <si>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</si>
  <si>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</si>
  <si>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</si>
  <si>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</si>
  <si>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</si>
  <si>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</si>
  <si>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</si>
  <si>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</si>
  <si>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</si>
  <si>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</si>
  <si>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</si>
  <si>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</si>
  <si>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</si>
  <si>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</si>
  <si>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</si>
  <si>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</si>
  <si>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</si>
  <si>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</si>
  <si>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</si>
  <si>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</si>
  <si>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</si>
  <si>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</si>
  <si>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</si>
  <si>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</si>
  <si>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</si>
  <si>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</si>
  <si>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</si>
  <si>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</si>
  <si>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</si>
  <si>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</si>
  <si>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</si>
  <si>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</si>
  <si>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</si>
  <si>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</si>
  <si>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</si>
  <si>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</si>
  <si>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</si>
  <si>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</si>
  <si>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</si>
  <si>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</si>
  <si>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</si>
  <si>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</si>
  <si>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</si>
  <si>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</si>
  <si>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</si>
  <si>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</si>
  <si>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</si>
  <si>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</si>
  <si>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</si>
  <si>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</si>
  <si>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</si>
  <si>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</si>
  <si>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</si>
  <si>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</si>
  <si>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</si>
  <si>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</si>
  <si>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</si>
  <si>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</si>
  <si>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</si>
  <si>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</si>
  <si>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</si>
  <si>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</si>
  <si>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</si>
  <si>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</si>
  <si>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</si>
  <si>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</si>
  <si>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</si>
  <si>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</si>
  <si>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</si>
  <si>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</si>
  <si>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</si>
  <si>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</si>
  <si>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</si>
  <si>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</si>
  <si>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</si>
  <si>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</si>
  <si>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</si>
  <si>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</si>
  <si>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</si>
  <si>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</si>
  <si>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</si>
  <si>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</si>
  <si>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</si>
  <si>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</si>
  <si>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</si>
  <si>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</si>
  <si>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</si>
  <si>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</si>
  <si>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</si>
  <si>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</si>
  <si>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</si>
  <si>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</si>
  <si>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</si>
  <si>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</si>
  <si>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</si>
  <si>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</si>
  <si>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</si>
  <si>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</si>
  <si>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</si>
  <si>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</si>
  <si>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</si>
  <si>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</si>
  <si>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</si>
  <si>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</si>
  <si>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</si>
  <si>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</si>
  <si>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</si>
  <si>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</si>
  <si>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</si>
  <si>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</si>
  <si>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</si>
  <si>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</si>
  <si>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</si>
  <si>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</si>
  <si>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</si>
  <si>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</si>
  <si>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</si>
  <si>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</si>
  <si>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</si>
  <si>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</si>
  <si>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</si>
  <si>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</si>
  <si>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</si>
  <si>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</si>
  <si>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</si>
  <si>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</si>
  <si>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</si>
  <si>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</si>
  <si>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</si>
  <si>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</si>
  <si>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</si>
  <si>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</si>
  <si>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</si>
  <si>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</si>
  <si>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</si>
  <si>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</si>
  <si>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</si>
  <si>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</si>
  <si>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</si>
  <si>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</si>
  <si>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</si>
  <si>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</si>
  <si>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</si>
  <si>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</si>
  <si>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</si>
  <si>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</si>
  <si>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</si>
  <si>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</si>
  <si>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</si>
  <si>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</si>
  <si>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</si>
  <si>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</si>
  <si>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</si>
  <si>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</si>
  <si>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</si>
  <si>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</si>
  <si>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</si>
  <si>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</si>
  <si>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</si>
  <si>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</si>
  <si>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</si>
  <si>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</si>
  <si>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</si>
  <si>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</si>
  <si>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</si>
  <si>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</si>
  <si>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</si>
  <si>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</si>
  <si>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</si>
  <si>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</si>
  <si>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</si>
  <si>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</si>
  <si>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</si>
  <si>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</si>
  <si>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</si>
  <si>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</si>
  <si>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</si>
  <si>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</si>
  <si>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</si>
  <si>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</si>
  <si>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</si>
  <si>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</si>
  <si>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</si>
  <si>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</si>
  <si>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</si>
  <si>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</si>
  <si>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</si>
  <si>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</si>
  <si>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</si>
  <si>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</si>
  <si>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</si>
  <si>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</si>
  <si>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</si>
  <si>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</si>
  <si>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</si>
  <si>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</si>
  <si>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</si>
  <si>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</si>
  <si>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</si>
  <si>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</si>
  <si>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</si>
  <si>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</si>
  <si>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</si>
  <si>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</si>
  <si>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</si>
  <si>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</si>
  <si>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</si>
  <si>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</si>
  <si>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</si>
  <si>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</si>
  <si>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</si>
  <si>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</si>
  <si>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</si>
  <si>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</si>
  <si>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</si>
  <si>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</si>
  <si>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</si>
  <si>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</si>
  <si>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</si>
  <si>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</si>
  <si>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</si>
  <si>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</si>
  <si>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</si>
  <si>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</si>
  <si>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</si>
  <si>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</si>
  <si>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</si>
  <si>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</si>
  <si>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</si>
  <si>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</si>
  <si>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</si>
  <si>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</si>
  <si>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</si>
  <si>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</si>
  <si>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</si>
  <si>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</si>
  <si>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</si>
  <si>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</si>
  <si>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</si>
  <si>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</si>
  <si>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</si>
  <si>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</si>
  <si>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</si>
  <si>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</si>
  <si>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</si>
  <si>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</si>
  <si>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</si>
  <si>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</si>
  <si>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</si>
  <si>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</si>
  <si>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</si>
  <si>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</si>
  <si>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</si>
  <si>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</si>
  <si>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</si>
  <si>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</si>
  <si>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</si>
  <si>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</si>
  <si>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</si>
  <si>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</si>
  <si>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</si>
  <si>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</si>
  <si>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</si>
  <si>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</si>
  <si>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</si>
  <si>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</si>
  <si>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</si>
  <si>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</si>
  <si>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</si>
  <si>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</si>
  <si>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</si>
  <si>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</si>
  <si>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</si>
  <si>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</si>
  <si>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</si>
  <si>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</si>
  <si>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</si>
  <si>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</si>
  <si>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</si>
  <si>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</si>
  <si>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</si>
  <si>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</si>
  <si>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</si>
  <si>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</si>
  <si>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</si>
  <si>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</si>
  <si>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</si>
  <si>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</si>
  <si>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</si>
  <si>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</si>
  <si>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</si>
  <si>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</si>
  <si>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</si>
  <si>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</si>
  <si>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</si>
  <si>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</si>
  <si>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</si>
  <si>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</si>
  <si>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</si>
  <si>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</si>
  <si>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</si>
  <si>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</si>
  <si>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</si>
  <si>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</si>
  <si>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</si>
  <si>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</si>
  <si>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</si>
  <si>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</si>
  <si>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</si>
  <si>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</si>
  <si>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</si>
  <si>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</si>
  <si>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</si>
  <si>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</si>
  <si>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</si>
  <si>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</si>
  <si>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</si>
  <si>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</si>
  <si>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</si>
  <si>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</si>
  <si>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</si>
  <si>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</si>
  <si>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</si>
  <si>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</si>
  <si>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</si>
  <si>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</si>
  <si>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</si>
  <si>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</si>
  <si>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</si>
  <si>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</si>
  <si>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</si>
  <si>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</si>
  <si>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</si>
  <si>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</si>
  <si>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</si>
  <si>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</si>
  <si>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</si>
  <si>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</si>
  <si>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</si>
  <si>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</si>
  <si>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</si>
  <si>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</si>
  <si>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</si>
  <si>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</si>
  <si>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</si>
  <si>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</si>
  <si>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</si>
  <si>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</si>
  <si>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</si>
  <si>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</si>
  <si>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</si>
  <si>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</si>
  <si>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</si>
  <si>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</si>
  <si>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</si>
  <si>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</si>
  <si>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</si>
  <si>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</si>
  <si>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</si>
  <si>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</si>
  <si>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</si>
  <si>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</si>
  <si>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</si>
  <si>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</si>
  <si>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</si>
  <si>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</si>
  <si>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</si>
  <si>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</si>
  <si>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</si>
  <si>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</si>
  <si>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</si>
  <si>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</si>
  <si>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</si>
  <si>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</si>
  <si>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</si>
  <si>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</si>
  <si>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</si>
  <si>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</si>
  <si>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</si>
  <si>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</si>
  <si>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</si>
  <si>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</si>
  <si>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</si>
  <si>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</si>
  <si>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</si>
  <si>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</si>
  <si>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</si>
  <si>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</si>
  <si>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</si>
  <si>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</si>
  <si>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</si>
  <si>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</si>
  <si>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</si>
  <si>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</si>
  <si>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</si>
  <si>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</si>
  <si>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</si>
  <si>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</si>
  <si>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</si>
  <si>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</si>
  <si>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</si>
  <si>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</si>
  <si>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</si>
  <si>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</si>
  <si>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</si>
  <si>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</si>
  <si>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</si>
  <si>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</si>
  <si>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</si>
  <si>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</si>
  <si>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</si>
  <si>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</si>
  <si>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</si>
  <si>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</si>
  <si>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</si>
  <si>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</si>
  <si>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</si>
  <si>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</si>
  <si>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</si>
  <si>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</si>
  <si>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</si>
  <si>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</si>
  <si>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</si>
  <si>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</si>
  <si>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</si>
  <si>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</si>
  <si>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</si>
  <si>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</si>
  <si>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</si>
  <si>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</si>
  <si>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</si>
  <si>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</si>
  <si>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</si>
  <si>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</si>
  <si>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</si>
  <si>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</si>
  <si>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</si>
  <si>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</si>
  <si>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</si>
  <si>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</si>
  <si>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</si>
  <si>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</si>
  <si>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</si>
  <si>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</si>
  <si>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</si>
  <si>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</si>
  <si>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</si>
  <si>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</si>
  <si>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</si>
  <si>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</si>
  <si>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</si>
  <si>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</si>
  <si>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</si>
  <si>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</si>
  <si>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</si>
  <si>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</si>
  <si>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</si>
  <si>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</si>
  <si>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</si>
  <si>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</si>
  <si>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</si>
  <si>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</si>
  <si>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</si>
  <si>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</si>
  <si>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</si>
  <si>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</si>
  <si>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</si>
  <si>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</si>
  <si>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</si>
  <si>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</si>
  <si>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</si>
  <si>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</si>
  <si>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</si>
  <si>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</si>
  <si>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</si>
  <si>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</si>
  <si>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</si>
  <si>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</si>
  <si>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</si>
  <si>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</si>
  <si>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</si>
  <si>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</si>
  <si>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</si>
  <si>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</si>
  <si>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</si>
  <si>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</si>
  <si>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</si>
  <si>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</si>
  <si>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</si>
  <si>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</si>
  <si>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</si>
  <si>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</si>
  <si>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</si>
  <si>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</si>
  <si>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</si>
  <si>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</si>
  <si>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</si>
  <si>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</si>
  <si>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</si>
  <si>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</si>
  <si>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</si>
  <si>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</si>
  <si>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</si>
  <si>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</si>
  <si>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</si>
  <si>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</si>
  <si>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</si>
  <si>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</si>
  <si>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</si>
  <si>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</si>
  <si>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</si>
  <si>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</si>
  <si>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</si>
  <si>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</si>
  <si>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</si>
  <si>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</si>
  <si>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</si>
  <si>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</si>
  <si>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</si>
  <si>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</si>
  <si>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</si>
  <si>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</si>
  <si>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</si>
  <si>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</si>
  <si>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</si>
  <si>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</si>
  <si>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</si>
  <si>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</si>
  <si>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</si>
  <si>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</si>
  <si>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</si>
  <si>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</si>
  <si>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</si>
  <si>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</si>
  <si>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</si>
  <si>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</si>
  <si>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</si>
  <si>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</si>
  <si>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</si>
  <si>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</si>
  <si>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</si>
  <si>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</si>
  <si>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</si>
  <si>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</si>
  <si>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</si>
  <si>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</si>
  <si>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</si>
  <si>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</si>
  <si>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</si>
  <si>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</si>
  <si>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</si>
  <si>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</si>
  <si>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</si>
  <si>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</si>
  <si>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</si>
  <si>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</si>
  <si>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</si>
  <si>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</si>
  <si>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</si>
  <si>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</si>
  <si>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</si>
  <si>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</si>
  <si>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</si>
  <si>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</si>
  <si>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</si>
  <si>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</si>
  <si>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</si>
  <si>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</si>
  <si>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</si>
  <si>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</si>
  <si>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</si>
  <si>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</si>
  <si>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</si>
  <si>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</si>
  <si>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</si>
  <si>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</si>
  <si>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</si>
  <si>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</si>
  <si>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</si>
  <si>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</si>
  <si>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</si>
  <si>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</si>
  <si>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</si>
  <si>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</si>
  <si>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</si>
  <si>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</si>
  <si>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</si>
  <si>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</si>
  <si>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</si>
  <si>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</si>
  <si>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</si>
  <si>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</si>
  <si>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</si>
  <si>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</si>
  <si>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</si>
  <si>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</si>
  <si>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</si>
  <si>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</si>
  <si>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</si>
  <si>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</si>
  <si>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</si>
  <si>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</si>
  <si>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</si>
  <si>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</si>
  <si>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</si>
  <si>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</si>
  <si>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</si>
  <si>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</si>
  <si>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</si>
  <si>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</si>
  <si>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</si>
  <si>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</si>
  <si>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</si>
  <si>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</si>
  <si>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</si>
  <si>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</si>
  <si>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</si>
  <si>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</si>
  <si>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</si>
  <si>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</si>
  <si>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</si>
  <si>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</si>
  <si>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</si>
  <si>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</si>
  <si>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</si>
  <si>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</si>
  <si>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</si>
  <si>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</si>
  <si>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</si>
  <si>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</si>
  <si>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</si>
  <si>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</si>
  <si>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</si>
  <si>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</si>
  <si>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</si>
  <si>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</si>
  <si>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</si>
  <si>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</si>
  <si>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</si>
  <si>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</si>
  <si>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</si>
  <si>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</si>
  <si>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</si>
  <si>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</si>
  <si>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</si>
  <si>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</si>
  <si>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</si>
  <si>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</si>
  <si>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</si>
  <si>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</si>
  <si>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</si>
  <si>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</si>
  <si>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</si>
  <si>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</si>
  <si>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</si>
  <si>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</si>
  <si>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</si>
  <si>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</si>
  <si>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</si>
  <si>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</si>
  <si>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</si>
  <si>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</si>
  <si>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</si>
  <si>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</si>
  <si>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</si>
  <si>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</si>
  <si>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</si>
  <si>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</si>
  <si>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</si>
  <si>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</si>
  <si>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</si>
  <si>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</si>
  <si>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</si>
  <si>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</si>
  <si>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</si>
  <si>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</si>
  <si>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</si>
  <si>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</si>
  <si>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</si>
  <si>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</si>
  <si>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</si>
  <si>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</si>
  <si>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</si>
  <si>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</si>
  <si>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</si>
  <si>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</si>
  <si>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</si>
  <si>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</si>
  <si>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</si>
  <si>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</si>
  <si>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</si>
  <si>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</si>
  <si>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</si>
  <si>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</si>
  <si>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</si>
  <si>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</si>
  <si>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</si>
  <si>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</si>
  <si>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</si>
  <si>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</si>
  <si>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</si>
  <si>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</si>
  <si>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</si>
  <si>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</si>
  <si>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</si>
  <si>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</si>
  <si>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</si>
  <si>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</si>
  <si>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</si>
  <si>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</si>
  <si>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</si>
  <si>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</si>
  <si>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</si>
  <si>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</si>
  <si>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</si>
  <si>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</si>
  <si>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</si>
  <si>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</si>
  <si>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</si>
  <si>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</si>
  <si>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</si>
  <si>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</si>
  <si>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</si>
  <si>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</si>
  <si>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</si>
  <si>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</si>
  <si>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</si>
  <si>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</si>
  <si>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</si>
  <si>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</si>
  <si>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</si>
  <si>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</si>
  <si>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</si>
  <si>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</si>
  <si>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</si>
  <si>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</si>
  <si>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</si>
  <si>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</si>
  <si>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</si>
  <si>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</si>
  <si>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</si>
  <si>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</si>
  <si>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</si>
  <si>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</si>
  <si>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</si>
  <si>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</si>
  <si>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</si>
  <si>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</si>
  <si>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</si>
  <si>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</si>
  <si>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</si>
  <si>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</si>
  <si>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</si>
  <si>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</si>
  <si>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</si>
  <si>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</si>
  <si>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</si>
  <si>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</si>
  <si>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</si>
  <si>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</si>
  <si>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</si>
  <si>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</si>
  <si>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</si>
  <si>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</si>
  <si>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</si>
  <si>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</si>
  <si>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</si>
  <si>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</si>
  <si>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</si>
  <si>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</si>
  <si>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</si>
  <si>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</si>
  <si>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</si>
  <si>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</si>
  <si>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</si>
  <si>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</si>
  <si>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</si>
  <si>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</si>
  <si>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</si>
  <si>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</si>
  <si>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</si>
  <si>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</si>
  <si>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</si>
  <si>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</si>
  <si>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</si>
  <si>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</si>
  <si>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</si>
  <si>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</si>
  <si>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</si>
  <si>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</si>
  <si>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</si>
  <si>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</si>
  <si>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</si>
  <si>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</si>
  <si>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</si>
  <si>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</si>
  <si>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</si>
  <si>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</si>
  <si>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</si>
  <si>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</si>
  <si>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</si>
  <si>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</si>
  <si>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</si>
  <si>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</si>
  <si>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</si>
  <si>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</si>
  <si>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</si>
  <si>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</si>
  <si>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</si>
  <si>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</si>
  <si>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</si>
  <si>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</si>
  <si>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</si>
  <si>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</si>
  <si>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</si>
  <si>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</si>
  <si>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</si>
  <si>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</si>
  <si>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</si>
  <si>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</si>
  <si>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</si>
  <si>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</si>
  <si>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</si>
  <si>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</si>
  <si>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</si>
  <si>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</si>
  <si>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</si>
  <si>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</si>
  <si>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</si>
  <si>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</si>
  <si>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</si>
  <si>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</si>
  <si>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</si>
  <si>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</si>
  <si>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</si>
  <si>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</si>
  <si>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</si>
  <si>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</si>
  <si>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</si>
  <si>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</si>
  <si>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</si>
  <si>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</si>
  <si>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</si>
  <si>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</si>
  <si>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</si>
  <si>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</si>
  <si>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</si>
  <si>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</si>
  <si>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</si>
  <si>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</si>
  <si>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</si>
  <si>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</si>
  <si>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</si>
  <si>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</si>
  <si>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</si>
  <si>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</si>
  <si>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</si>
  <si>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</si>
  <si>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</si>
  <si>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</si>
  <si>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</si>
  <si>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</si>
  <si>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</si>
  <si>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</si>
  <si>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</si>
  <si>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</si>
  <si>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</si>
  <si>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</si>
  <si>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</si>
  <si>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</si>
  <si>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</si>
  <si>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</si>
  <si>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</si>
  <si>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</si>
  <si>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</si>
  <si>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</si>
  <si>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</si>
  <si>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</si>
  <si>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</si>
  <si>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</si>
  <si>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</si>
  <si>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</si>
  <si>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</si>
  <si>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</si>
  <si>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</si>
  <si>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</si>
  <si>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</si>
  <si>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</si>
  <si>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</si>
  <si>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</si>
  <si>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</si>
  <si>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</si>
  <si>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</si>
  <si>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</si>
  <si>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</si>
  <si>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</si>
  <si>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</si>
  <si>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</si>
  <si>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</si>
  <si>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</si>
  <si>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</si>
  <si>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</si>
  <si>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</si>
  <si>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</si>
  <si>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</si>
  <si>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</si>
  <si>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</si>
  <si>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</si>
  <si>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</si>
  <si>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</si>
  <si>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</si>
  <si>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</si>
  <si>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</si>
  <si>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</si>
  <si>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</si>
  <si>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</si>
  <si>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</si>
  <si>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</si>
  <si>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</si>
  <si>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</si>
  <si>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</si>
  <si>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</si>
  <si>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</si>
  <si>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</si>
  <si>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</si>
  <si>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</si>
  <si>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</si>
  <si>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</si>
  <si>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</si>
  <si>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</si>
  <si>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</si>
  <si>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</si>
  <si>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</si>
  <si>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</si>
  <si>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</si>
  <si>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</si>
  <si>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</si>
  <si>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</si>
  <si>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</si>
  <si>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</si>
  <si>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</si>
  <si>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</si>
  <si>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</si>
  <si>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</si>
  <si>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</si>
  <si>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</si>
  <si>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</si>
  <si>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</si>
  <si>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</si>
  <si>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</si>
  <si>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</si>
  <si>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</si>
  <si>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</si>
  <si>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</si>
  <si>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</si>
  <si>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</si>
  <si>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</si>
  <si>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</si>
  <si>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</si>
  <si>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</si>
  <si>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</si>
  <si>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</si>
  <si>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</si>
  <si>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</si>
  <si>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</si>
  <si>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</si>
  <si>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</si>
  <si>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</si>
  <si>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</si>
  <si>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</si>
  <si>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</si>
  <si>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</si>
  <si>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</si>
  <si>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</si>
  <si>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</si>
  <si>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</si>
  <si>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</si>
  <si>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</si>
  <si>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</si>
  <si>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</si>
  <si>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</si>
  <si>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</si>
  <si>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</si>
  <si>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</si>
  <si>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</si>
  <si>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</si>
  <si>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</si>
  <si>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</si>
  <si>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</si>
  <si>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</si>
  <si>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</si>
  <si>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</si>
  <si>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</si>
  <si>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</si>
  <si>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</si>
  <si>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</si>
  <si>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</si>
  <si>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</si>
  <si>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</si>
  <si>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</si>
  <si>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</si>
  <si>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</si>
  <si>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</si>
  <si>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</si>
  <si>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</si>
  <si>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</si>
  <si>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</si>
  <si>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</si>
  <si>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</si>
  <si>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</si>
  <si>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</si>
  <si>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</si>
  <si>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</si>
  <si>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</si>
  <si>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</si>
  <si>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</si>
  <si>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</si>
  <si>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</si>
  <si>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</si>
  <si>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</si>
  <si>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</si>
  <si>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</si>
  <si>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</si>
  <si>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</si>
  <si>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</si>
  <si>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</si>
  <si>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</si>
  <si>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</si>
  <si>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</si>
  <si>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</si>
  <si>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</si>
  <si>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</si>
  <si>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</si>
  <si>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</si>
  <si>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</si>
  <si>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</si>
  <si>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</si>
  <si>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</si>
  <si>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</si>
  <si>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</si>
  <si>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</si>
  <si>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</si>
  <si>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</si>
  <si>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</si>
  <si>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</si>
  <si>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</si>
  <si>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</si>
  <si>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</si>
  <si>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</si>
  <si>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</si>
  <si>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</si>
  <si>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</si>
  <si>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</si>
  <si>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</si>
  <si>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</si>
  <si>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</si>
  <si>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</si>
  <si>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</si>
  <si>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</si>
  <si>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</si>
  <si>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</si>
  <si>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</si>
  <si>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</si>
  <si>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</si>
  <si>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</si>
  <si>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</si>
  <si>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</si>
  <si>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</si>
  <si>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</si>
  <si>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</si>
  <si>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</si>
  <si>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</si>
  <si>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</si>
  <si>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</si>
  <si>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</si>
  <si>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</si>
  <si>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</si>
  <si>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</si>
  <si>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</si>
  <si>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</si>
  <si>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</si>
  <si>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</si>
  <si>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</si>
  <si>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</si>
  <si>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</si>
  <si>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</si>
  <si>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</si>
  <si>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</si>
  <si>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</si>
  <si>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</si>
  <si>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</si>
  <si>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</si>
  <si>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</si>
  <si>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</si>
  <si>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</si>
  <si>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</si>
  <si>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</si>
  <si>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</si>
  <si>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</si>
  <si>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</si>
  <si>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</si>
  <si>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</si>
  <si>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</si>
  <si>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</si>
  <si>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</si>
  <si>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</si>
  <si>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</si>
  <si>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</si>
  <si>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</si>
  <si>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</si>
  <si>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</si>
  <si>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</si>
  <si>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</si>
  <si>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</si>
  <si>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</si>
  <si>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</si>
  <si>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</si>
  <si>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</si>
  <si>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</si>
  <si>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</si>
  <si>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</si>
  <si>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</si>
  <si>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</si>
  <si>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</si>
  <si>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</si>
  <si>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</si>
  <si>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</si>
  <si>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</si>
  <si>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</si>
  <si>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</si>
  <si>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</si>
  <si>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</si>
  <si>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</si>
  <si>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</si>
  <si>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</si>
  <si>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</si>
  <si>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</si>
  <si>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</si>
  <si>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</si>
  <si>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</si>
  <si>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</si>
  <si>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</si>
  <si>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</si>
  <si>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</si>
  <si>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</si>
  <si>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</si>
  <si>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</si>
  <si>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</si>
  <si>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</si>
  <si>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</si>
  <si>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</si>
  <si>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</si>
  <si>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</si>
  <si>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</si>
  <si>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</si>
  <si>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</si>
  <si>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</si>
  <si>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</si>
  <si>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</si>
  <si>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</si>
  <si>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</si>
  <si>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</si>
  <si>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</si>
  <si>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</si>
  <si>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</si>
  <si>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</si>
  <si>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</si>
  <si>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</si>
  <si>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</si>
  <si>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</si>
  <si>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</si>
  <si>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</si>
  <si>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</si>
  <si>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</si>
  <si>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</si>
  <si>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</si>
  <si>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</si>
  <si>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</si>
  <si>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</si>
  <si>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</si>
  <si>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</si>
  <si>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</si>
  <si>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</si>
  <si>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</si>
  <si>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</si>
  <si>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</si>
  <si>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</si>
  <si>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</si>
  <si>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</si>
  <si>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</si>
  <si>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</si>
  <si>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</si>
  <si>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</si>
  <si>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</si>
  <si>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</si>
  <si>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</si>
  <si>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</si>
  <si>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</si>
  <si>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</si>
  <si>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</si>
  <si>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</si>
  <si>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</si>
  <si>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</si>
  <si>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</si>
  <si>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</si>
  <si>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</si>
  <si>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</si>
  <si>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</si>
  <si>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</si>
  <si>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</si>
  <si>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</si>
  <si>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</si>
  <si>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</si>
  <si>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</si>
  <si>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</si>
  <si>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</si>
  <si>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</si>
  <si>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</si>
  <si>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</si>
  <si>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</si>
  <si>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</si>
  <si>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</si>
  <si>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</si>
  <si>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</si>
  <si>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</si>
  <si>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</si>
  <si>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</si>
  <si>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</si>
  <si>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</si>
  <si>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</si>
  <si>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</si>
  <si>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</si>
  <si>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</si>
  <si>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</si>
  <si>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</si>
  <si>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</si>
  <si>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</si>
  <si>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</si>
  <si>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</si>
  <si>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</si>
  <si>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</si>
  <si>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</si>
  <si>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</si>
  <si>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</si>
  <si>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</si>
  <si>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</si>
  <si>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</si>
  <si>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</si>
  <si>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</si>
  <si>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</si>
  <si>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</si>
  <si>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</si>
  <si>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</si>
  <si>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</si>
  <si>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</si>
  <si>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</si>
  <si>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</si>
  <si>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</si>
  <si>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</si>
  <si>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</si>
  <si>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</si>
  <si>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</si>
  <si>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</si>
  <si>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</si>
  <si>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</si>
  <si>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</si>
  <si>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</si>
  <si>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</si>
  <si>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</si>
  <si>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</si>
  <si>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</si>
  <si>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</si>
  <si>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</si>
  <si>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</si>
  <si>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</si>
  <si>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</si>
  <si>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</si>
  <si>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</si>
  <si>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</si>
  <si>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</si>
  <si>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</si>
  <si>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</si>
  <si>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</si>
  <si>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</si>
  <si>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</si>
  <si>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</si>
  <si>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</si>
  <si>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</si>
  <si>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</si>
  <si>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</si>
  <si>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</si>
  <si>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</si>
  <si>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</si>
  <si>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</si>
  <si>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</si>
  <si>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</si>
  <si>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</si>
  <si>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</si>
  <si>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</si>
  <si>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</si>
  <si>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</si>
  <si>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</si>
  <si>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</si>
  <si>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</si>
  <si>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</si>
  <si>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</si>
  <si>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</si>
  <si>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</si>
  <si>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</si>
  <si>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</si>
  <si>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</si>
  <si>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</si>
  <si>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</si>
  <si>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</si>
  <si>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</si>
  <si>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</si>
  <si>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</si>
  <si>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</si>
  <si>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</si>
  <si>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</si>
  <si>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</si>
  <si>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</si>
  <si>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</si>
  <si>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</si>
  <si>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</si>
  <si>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</si>
  <si>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</si>
  <si>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</si>
  <si>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</si>
  <si>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</si>
  <si>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</si>
  <si>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</si>
  <si>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</si>
  <si>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</si>
  <si>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</si>
  <si>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</si>
  <si>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</si>
  <si>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</si>
  <si>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</si>
  <si>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</si>
  <si>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</si>
  <si>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</si>
  <si>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</si>
  <si>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</si>
  <si>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</si>
  <si>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</si>
  <si>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</si>
  <si>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</si>
  <si>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</si>
  <si>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</si>
  <si>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</si>
  <si>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</si>
  <si>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</si>
  <si>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</si>
  <si>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</si>
  <si>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</si>
  <si>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</si>
  <si>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</si>
  <si>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</si>
  <si>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</si>
  <si>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</si>
  <si>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</si>
  <si>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</si>
  <si>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</si>
  <si>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</si>
  <si>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</si>
  <si>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</si>
  <si>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</si>
  <si>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</si>
  <si>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</si>
  <si>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</si>
  <si>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</si>
  <si>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</si>
  <si>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</si>
  <si>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</si>
  <si>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</si>
  <si>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</si>
  <si>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</si>
  <si>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</si>
  <si>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</si>
  <si>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</si>
  <si>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</si>
  <si>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</si>
  <si>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</si>
  <si>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</si>
  <si>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</si>
  <si>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</si>
  <si>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</si>
  <si>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</si>
  <si>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</si>
  <si>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</si>
  <si>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</si>
  <si>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</si>
  <si>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</si>
  <si>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</si>
  <si>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</si>
  <si>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</si>
  <si>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</si>
  <si>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</si>
  <si>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</si>
  <si>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</si>
  <si>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</si>
  <si>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</si>
  <si>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</si>
  <si>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</si>
  <si>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</si>
  <si>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</si>
  <si>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</si>
  <si>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</si>
  <si>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</si>
  <si>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</si>
  <si>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</si>
  <si>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</si>
  <si>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</si>
  <si>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</si>
  <si>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</si>
  <si>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</si>
  <si>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</si>
  <si>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</si>
  <si>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</si>
  <si>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</si>
  <si>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</si>
  <si>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</si>
  <si>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</si>
  <si>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</si>
  <si>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</si>
  <si>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</si>
  <si>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</si>
  <si>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</si>
  <si>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</si>
  <si>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</si>
  <si>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</si>
  <si>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</si>
  <si>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</si>
  <si>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</si>
  <si>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</si>
  <si>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</si>
  <si>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</si>
  <si>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</si>
  <si>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</si>
  <si>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</si>
  <si>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</si>
  <si>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</si>
  <si>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</si>
  <si>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</si>
  <si>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</si>
  <si>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</si>
  <si>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</si>
  <si>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</si>
  <si>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</si>
  <si>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</si>
  <si>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</si>
  <si>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</si>
  <si>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</si>
  <si>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</si>
  <si>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</si>
  <si>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</si>
  <si>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</si>
  <si>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</si>
  <si>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</si>
  <si>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</si>
  <si>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</si>
  <si>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</si>
  <si>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</si>
  <si>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</si>
  <si>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</si>
  <si>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</si>
  <si>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</si>
  <si>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</si>
  <si>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</si>
  <si>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</si>
  <si>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</si>
  <si>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</si>
  <si>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</si>
  <si>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</si>
  <si>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</si>
  <si>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</si>
  <si>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</si>
  <si>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</si>
  <si>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</si>
  <si>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</si>
  <si>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</si>
  <si>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</si>
  <si>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</si>
  <si>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</si>
  <si>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</si>
  <si>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</si>
  <si>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</si>
  <si>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</si>
  <si>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</si>
  <si>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</si>
  <si>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</si>
  <si>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</si>
  <si>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</si>
  <si>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</si>
  <si>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</si>
  <si>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</si>
  <si>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</si>
  <si>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</si>
  <si>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</si>
  <si>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</si>
  <si>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</si>
  <si>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</si>
  <si>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</si>
  <si>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</si>
  <si>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</si>
  <si>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</si>
  <si>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</si>
  <si>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</si>
  <si>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</si>
  <si>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</si>
  <si>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</si>
  <si>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</si>
  <si>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</si>
  <si>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</si>
  <si>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</si>
  <si>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</si>
  <si>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</si>
  <si>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</si>
  <si>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</si>
  <si>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</si>
  <si>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</si>
  <si>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</si>
  <si>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</si>
  <si>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</si>
  <si>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</si>
  <si>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</si>
  <si>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</si>
  <si>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</si>
  <si>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</si>
  <si>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</si>
  <si>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</si>
  <si>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</si>
  <si>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</si>
  <si>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</si>
  <si>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</si>
  <si>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</si>
  <si>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</si>
  <si>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</si>
  <si>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</si>
  <si>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</si>
  <si>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</si>
  <si>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</si>
  <si>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</si>
  <si>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</si>
  <si>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</si>
  <si>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</si>
  <si>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</si>
  <si>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</si>
  <si>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</si>
  <si>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</si>
  <si>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</si>
  <si>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</si>
  <si>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</si>
  <si>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</si>
  <si>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</si>
  <si>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</si>
  <si>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</si>
  <si>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</si>
  <si>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</si>
  <si>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</si>
  <si>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</si>
  <si>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</si>
  <si>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</si>
  <si>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</si>
  <si>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</si>
  <si>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</si>
  <si>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</si>
  <si>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</si>
  <si>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</si>
  <si>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</si>
  <si>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</si>
  <si>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</si>
  <si>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</si>
  <si>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</si>
  <si>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</si>
  <si>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</si>
  <si>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</si>
  <si>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</si>
  <si>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</si>
  <si>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</si>
  <si>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</si>
  <si>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</si>
  <si>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</si>
  <si>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</si>
  <si>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</si>
  <si>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</si>
  <si>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</si>
  <si>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</si>
  <si>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</si>
  <si>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</si>
  <si>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</si>
  <si>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</si>
  <si>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</si>
  <si>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</si>
  <si>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</si>
  <si>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</si>
  <si>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</si>
  <si>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</si>
  <si>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</si>
  <si>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</si>
  <si>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</si>
  <si>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</si>
  <si>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</si>
  <si>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</si>
  <si>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</si>
  <si>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</si>
  <si>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</si>
  <si>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</si>
  <si>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</si>
  <si>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</si>
  <si>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</si>
  <si>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</si>
  <si>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</si>
  <si>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</si>
  <si>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</si>
  <si>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</si>
  <si>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</si>
  <si>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</si>
  <si>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</si>
  <si>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</si>
  <si>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</si>
  <si>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</si>
  <si>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</si>
  <si>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</si>
  <si>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</si>
  <si>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</si>
  <si>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</si>
  <si>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</si>
  <si>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</si>
  <si>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</si>
  <si>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</si>
  <si>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</si>
  <si>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</si>
  <si>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</si>
  <si>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</si>
  <si>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</si>
  <si>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</si>
  <si>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</si>
  <si>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</si>
  <si>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</si>
  <si>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</si>
  <si>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</si>
  <si>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</si>
  <si>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</si>
  <si>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</si>
  <si>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</si>
  <si>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</si>
  <si>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</si>
  <si>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</si>
  <si>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</si>
  <si>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</si>
  <si>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</si>
  <si>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</si>
  <si>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</si>
  <si>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</si>
  <si>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</si>
  <si>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</si>
  <si>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</si>
  <si>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</si>
  <si>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</si>
  <si>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</si>
  <si>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</si>
  <si>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</si>
  <si>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</si>
  <si>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</si>
  <si>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</si>
  <si>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</si>
  <si>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</si>
  <si>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</si>
  <si>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</si>
  <si>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</si>
  <si>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</si>
  <si>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</si>
  <si>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</si>
  <si>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</si>
  <si>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</si>
  <si>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</si>
  <si>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</si>
  <si>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</si>
  <si>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</si>
  <si>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</si>
  <si>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</si>
  <si>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</si>
  <si>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</si>
  <si>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</si>
  <si>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</si>
  <si>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</si>
  <si>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</si>
  <si>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</si>
  <si>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</si>
  <si>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</si>
  <si>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</si>
  <si>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</si>
  <si>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</si>
  <si>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</si>
  <si>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</si>
  <si>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</si>
  <si>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</si>
  <si>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</si>
  <si>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</si>
  <si>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</si>
  <si>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</si>
  <si>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</si>
  <si>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</si>
  <si>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</si>
  <si>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</si>
  <si>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</si>
  <si>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</si>
  <si>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</si>
  <si>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</si>
  <si>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</si>
  <si>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</si>
  <si>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</si>
  <si>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</si>
  <si>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</si>
  <si>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</si>
  <si>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</si>
  <si>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</si>
  <si>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</si>
  <si>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</si>
  <si>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</si>
  <si>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</si>
  <si>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</si>
  <si>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</si>
  <si>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</si>
  <si>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</si>
  <si>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</si>
  <si>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</si>
  <si>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</si>
  <si>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</si>
  <si>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</si>
  <si>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</si>
  <si>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</si>
  <si>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</si>
  <si>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</si>
  <si>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</si>
  <si>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</si>
  <si>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</si>
  <si>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</si>
  <si>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</si>
  <si>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</si>
  <si>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</si>
  <si>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</si>
  <si>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</si>
  <si>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</si>
  <si>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</si>
  <si>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</si>
  <si>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</si>
  <si>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</si>
  <si>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</si>
  <si>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</si>
  <si>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</si>
  <si>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</si>
  <si>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</si>
  <si>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</si>
  <si>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</si>
  <si>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</si>
  <si>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</si>
  <si>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</si>
  <si>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</si>
  <si>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</si>
  <si>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</si>
  <si>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</si>
  <si>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</si>
  <si>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</si>
  <si>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</si>
  <si>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</si>
  <si>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</si>
  <si>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</si>
  <si>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</si>
  <si>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</si>
  <si>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</si>
  <si>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</si>
  <si>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</si>
  <si>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</si>
  <si>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</si>
  <si>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</si>
  <si>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</si>
  <si>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</si>
  <si>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</si>
  <si>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</si>
  <si>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</si>
  <si>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</si>
  <si>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</si>
  <si>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</si>
  <si>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</si>
  <si>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</si>
  <si>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</si>
  <si>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</si>
  <si>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</si>
  <si>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</si>
  <si>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</si>
  <si>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</si>
  <si>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</si>
  <si>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</si>
  <si>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</si>
  <si>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</si>
  <si>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</si>
  <si>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</si>
  <si>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</si>
  <si>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</si>
  <si>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</si>
  <si>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</si>
  <si>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</si>
  <si>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</si>
  <si>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</si>
  <si>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</si>
  <si>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</si>
  <si>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</si>
  <si>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</si>
  <si>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</si>
  <si>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</si>
  <si>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</si>
  <si>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</si>
  <si>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</si>
  <si>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</si>
  <si>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</si>
  <si>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</si>
  <si>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</si>
  <si>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</si>
  <si>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</si>
  <si>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</si>
  <si>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</si>
  <si>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</si>
  <si>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</si>
  <si>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</si>
  <si>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</si>
  <si>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</si>
  <si>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</si>
  <si>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</si>
  <si>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</si>
  <si>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</si>
  <si>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</si>
  <si>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</si>
  <si>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</si>
  <si>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</si>
  <si>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</si>
  <si>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</si>
  <si>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</si>
  <si>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</si>
  <si>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</si>
  <si>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</si>
  <si>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</si>
  <si>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</si>
  <si>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</si>
  <si>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</si>
  <si>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</si>
  <si>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</si>
  <si>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</si>
  <si>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</si>
  <si>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</si>
  <si>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</si>
  <si>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</si>
  <si>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</si>
  <si>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</si>
  <si>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</si>
  <si>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</si>
  <si>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</si>
  <si>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</si>
  <si>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</si>
  <si>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</si>
  <si>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</si>
  <si>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</si>
  <si>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</si>
  <si>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</si>
  <si>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</si>
  <si>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</si>
  <si>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</si>
  <si>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</si>
  <si>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</si>
  <si>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</si>
  <si>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</si>
  <si>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</si>
  <si>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</si>
  <si>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</si>
  <si>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</si>
  <si>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</si>
  <si>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</si>
  <si>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</si>
  <si>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</si>
  <si>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</si>
  <si>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</si>
  <si>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</si>
  <si>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</si>
  <si>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</si>
  <si>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</si>
  <si>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</si>
  <si>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</si>
  <si>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</si>
  <si>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</si>
  <si>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</si>
  <si>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</si>
  <si>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</si>
  <si>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</si>
  <si>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</si>
  <si>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</si>
  <si>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</si>
  <si>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</si>
  <si>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</si>
  <si>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</si>
  <si>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</si>
  <si>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</si>
  <si>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</si>
  <si>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</si>
  <si>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</si>
  <si>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</si>
  <si>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</si>
  <si>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</si>
  <si>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</si>
  <si>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</si>
  <si>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</si>
  <si>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</si>
  <si>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</si>
  <si>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</si>
  <si>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</si>
  <si>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</si>
  <si>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</si>
  <si>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</si>
  <si>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</si>
  <si>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</si>
  <si>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</si>
  <si>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</si>
  <si>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</si>
  <si>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</si>
  <si>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</si>
  <si>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</si>
  <si>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</si>
  <si>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</si>
  <si>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</si>
  <si>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</si>
  <si>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</si>
  <si>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</si>
  <si>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</si>
  <si>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</si>
  <si>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</si>
  <si>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</si>
  <si>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</si>
  <si>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</si>
  <si>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</si>
  <si>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</si>
  <si>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</si>
  <si>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</si>
  <si>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</si>
  <si>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</si>
  <si>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</si>
  <si>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</si>
  <si>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</si>
  <si>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</si>
  <si>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</si>
  <si>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</si>
  <si>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</si>
  <si>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</si>
  <si>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</si>
  <si>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</si>
  <si>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</si>
  <si>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</si>
  <si>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</si>
  <si>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</si>
  <si>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</si>
  <si>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</si>
  <si>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</si>
  <si>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</si>
  <si>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</si>
  <si>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</si>
  <si>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</si>
  <si>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</si>
  <si>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</si>
  <si>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</si>
  <si>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</si>
  <si>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</si>
  <si>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</si>
  <si>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</si>
  <si>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</si>
  <si>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</si>
  <si>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</si>
  <si>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</si>
  <si>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</si>
  <si>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</si>
  <si>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</si>
  <si>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</si>
  <si>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</si>
  <si>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</si>
  <si>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</si>
  <si>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</si>
  <si>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</si>
  <si>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</si>
  <si>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</si>
  <si>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</si>
  <si>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</si>
  <si>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</si>
  <si>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</si>
  <si>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</si>
  <si>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</si>
  <si>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</si>
  <si>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</si>
  <si>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</si>
  <si>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</si>
  <si>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</si>
  <si>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</si>
  <si>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</si>
  <si>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</si>
  <si>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</si>
  <si>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</si>
  <si>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</si>
  <si>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</si>
  <si>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</si>
  <si>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</si>
  <si>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</si>
  <si>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</si>
  <si>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</si>
  <si>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</si>
  <si>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</si>
  <si>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</si>
  <si>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</si>
  <si>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</si>
  <si>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</si>
  <si>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</si>
  <si>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</si>
  <si>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</si>
  <si>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</si>
  <si>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</si>
  <si>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</si>
  <si>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</si>
  <si>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</si>
  <si>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</si>
  <si>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</si>
  <si>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</si>
  <si>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</si>
  <si>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</si>
  <si>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</si>
  <si>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</si>
  <si>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</si>
  <si>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</si>
  <si>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</si>
  <si>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</si>
  <si>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</si>
  <si>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</si>
  <si>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</si>
  <si>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</si>
  <si>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</si>
  <si>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</si>
  <si>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</si>
  <si>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</si>
  <si>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</si>
  <si>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</si>
  <si>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</si>
  <si>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</si>
  <si>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</si>
  <si>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</si>
  <si>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</si>
  <si>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</si>
  <si>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</si>
  <si>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</si>
  <si>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</si>
  <si>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</si>
  <si>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</si>
  <si>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</si>
  <si>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</si>
  <si>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</si>
  <si>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</si>
  <si>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</si>
  <si>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</si>
  <si>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</si>
  <si>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</si>
  <si>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</si>
  <si>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</si>
  <si>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</si>
  <si>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</si>
  <si>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</si>
  <si>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</si>
  <si>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</si>
  <si>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</si>
  <si>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</si>
  <si>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</si>
  <si>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</si>
  <si>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</si>
  <si>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</si>
  <si>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</si>
  <si>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</si>
  <si>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</si>
  <si>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</si>
  <si>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</si>
  <si>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</si>
  <si>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</si>
  <si>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</si>
  <si>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</si>
  <si>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</si>
  <si>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</si>
  <si>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</si>
  <si>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</si>
  <si>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</si>
  <si>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</si>
  <si>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</si>
  <si>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</si>
  <si>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</si>
  <si>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</si>
  <si>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</si>
  <si>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</si>
  <si>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</si>
  <si>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</si>
  <si>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</si>
  <si>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</si>
  <si>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</si>
  <si>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</si>
  <si>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</si>
  <si>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</si>
  <si>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</si>
  <si>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</si>
  <si>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</si>
  <si>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</si>
  <si>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</si>
  <si>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</si>
  <si>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</si>
  <si>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</si>
  <si>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</si>
  <si>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</si>
  <si>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</si>
  <si>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</si>
  <si>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</si>
  <si>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</si>
  <si>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</si>
  <si>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</si>
  <si>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</si>
  <si>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</si>
  <si>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</si>
  <si>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</si>
  <si>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</si>
  <si>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</si>
  <si>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</si>
  <si>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</si>
  <si>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</si>
  <si>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</si>
  <si>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</si>
  <si>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</si>
  <si>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</si>
  <si>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</si>
  <si>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</si>
  <si>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</si>
  <si>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</si>
  <si>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</si>
  <si>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</si>
  <si>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</si>
  <si>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</si>
  <si>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</si>
  <si>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</si>
  <si>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</si>
  <si>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</si>
  <si>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</si>
  <si>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</si>
  <si>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</si>
  <si>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</si>
  <si>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</si>
  <si>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</si>
  <si>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</si>
  <si>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</si>
  <si>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</si>
  <si>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</si>
  <si>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</si>
  <si>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</si>
  <si>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</si>
  <si>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</si>
  <si>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</si>
  <si>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</si>
  <si>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</si>
  <si>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</si>
  <si>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</si>
  <si>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</si>
  <si>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</si>
  <si>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</si>
  <si>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</si>
  <si>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</si>
  <si>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</si>
  <si>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</si>
  <si>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</si>
  <si>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</si>
  <si>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</si>
  <si>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</si>
  <si>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</si>
  <si>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</si>
  <si>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</si>
  <si>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</si>
  <si>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</si>
  <si>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</si>
  <si>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</si>
  <si>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</si>
  <si>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</si>
  <si>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</si>
  <si>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</si>
  <si>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</si>
  <si>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</si>
  <si>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</si>
  <si>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</si>
  <si>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</si>
  <si>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</si>
  <si>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</si>
  <si>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</si>
  <si>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</si>
  <si>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</si>
  <si>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</si>
  <si>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</si>
  <si>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</si>
  <si>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</si>
  <si>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</si>
  <si>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</si>
  <si>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</si>
  <si>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</si>
  <si>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</si>
  <si>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</si>
  <si>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</si>
  <si>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</si>
  <si>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</si>
  <si>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</si>
  <si>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</si>
  <si>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</si>
  <si>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</si>
  <si>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</si>
  <si>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</si>
  <si>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</si>
  <si>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</si>
  <si>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</si>
  <si>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</si>
  <si>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</si>
  <si>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</si>
  <si>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</si>
  <si>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</si>
  <si>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</si>
  <si>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</si>
  <si>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</si>
  <si>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</si>
  <si>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</si>
  <si>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</si>
  <si>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</si>
  <si>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</si>
  <si>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</si>
  <si>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</si>
  <si>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</si>
  <si>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</si>
  <si>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</si>
  <si>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</si>
  <si>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</si>
  <si>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</si>
  <si>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</si>
  <si>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</si>
  <si>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</si>
  <si>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</si>
  <si>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</si>
  <si>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</si>
  <si>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</si>
  <si>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</si>
  <si>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</si>
  <si>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</si>
  <si>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</si>
  <si>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</si>
  <si>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</si>
  <si>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</si>
  <si>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</si>
  <si>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</si>
  <si>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</si>
  <si>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</si>
  <si>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</si>
  <si>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</si>
  <si>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</si>
  <si>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</si>
  <si>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</si>
  <si>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</si>
  <si>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</si>
  <si>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</si>
  <si>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</si>
  <si>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</si>
  <si>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</si>
  <si>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</si>
  <si>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</si>
  <si>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</si>
  <si>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</si>
  <si>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</si>
  <si>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</si>
  <si>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</si>
  <si>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</si>
  <si>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</si>
  <si>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</si>
  <si>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</si>
  <si>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</si>
  <si>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</si>
  <si>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</si>
  <si>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</si>
  <si>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</si>
  <si>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</si>
  <si>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</si>
  <si>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</si>
  <si>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</si>
  <si>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</si>
  <si>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</si>
  <si>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</si>
  <si>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</si>
  <si>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</si>
  <si>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</si>
  <si>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</si>
  <si>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</si>
  <si>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</si>
  <si>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</si>
  <si>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</si>
  <si>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</si>
  <si>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</si>
  <si>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</si>
  <si>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</si>
  <si>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</si>
  <si>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</si>
  <si>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</si>
  <si>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</si>
  <si>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</si>
  <si>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</si>
  <si>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</si>
  <si>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</si>
  <si>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</si>
  <si>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</si>
  <si>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</si>
  <si>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</si>
  <si>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</si>
  <si>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</si>
  <si>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</si>
  <si>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</si>
  <si>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</si>
  <si>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</si>
  <si>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</si>
  <si>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</si>
  <si>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</si>
  <si>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</si>
  <si>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</si>
  <si>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</si>
  <si>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</si>
  <si>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</si>
  <si>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</si>
  <si>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</si>
  <si>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</si>
  <si>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</si>
  <si>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</si>
  <si>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</si>
  <si>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</si>
  <si>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</si>
  <si>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</si>
  <si>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</si>
  <si>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</si>
  <si>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</si>
  <si>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</si>
  <si>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</si>
  <si>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</si>
  <si>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</si>
  <si>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</si>
  <si>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</si>
  <si>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</si>
  <si>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</si>
  <si>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</si>
  <si>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</si>
  <si>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</si>
  <si>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</si>
  <si>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</si>
  <si>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</si>
  <si>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</si>
  <si>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</si>
  <si>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</si>
  <si>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</si>
  <si>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</si>
  <si>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</si>
  <si>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</si>
  <si>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</si>
  <si>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</si>
  <si>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</si>
  <si>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</si>
  <si>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</si>
  <si>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</si>
  <si>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</si>
  <si>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</si>
  <si>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</si>
  <si>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</si>
  <si>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</si>
  <si>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</si>
  <si>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</si>
  <si>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</si>
  <si>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</si>
  <si>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</si>
  <si>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</si>
  <si>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</si>
  <si>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</si>
  <si>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</si>
  <si>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</si>
  <si>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</si>
  <si>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</si>
  <si>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</si>
  <si>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</si>
  <si>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</si>
  <si>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</si>
  <si>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</si>
  <si>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</si>
  <si>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</si>
  <si>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</si>
  <si>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</si>
  <si>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</si>
  <si>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</si>
  <si>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</si>
  <si>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</si>
  <si>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</si>
  <si>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</si>
  <si>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</si>
  <si>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</si>
  <si>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</si>
  <si>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</si>
  <si>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</si>
  <si>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</si>
  <si>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</si>
  <si>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</si>
  <si>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</si>
  <si>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</si>
  <si>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</si>
  <si>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</si>
  <si>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</si>
  <si>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</si>
  <si>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</si>
  <si>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</si>
  <si>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</si>
  <si>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</si>
  <si>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</si>
  <si>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</si>
  <si>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</si>
  <si>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</si>
  <si>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</si>
  <si>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</si>
  <si>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</si>
  <si>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</si>
  <si>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</si>
  <si>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</si>
  <si>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</si>
  <si>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</si>
  <si>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</si>
  <si>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</si>
  <si>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</si>
  <si>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</si>
  <si>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</si>
  <si>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</si>
  <si>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</si>
  <si>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</si>
  <si>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</si>
  <si>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</si>
  <si>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</si>
  <si>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</si>
  <si>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</si>
  <si>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</si>
  <si>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</si>
  <si>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</si>
  <si>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</si>
  <si>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</si>
  <si>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</si>
  <si>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</si>
  <si>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</si>
  <si>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</si>
  <si>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</si>
  <si>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</si>
  <si>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</si>
  <si>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</si>
  <si>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</si>
  <si>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</si>
  <si>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</si>
  <si>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</si>
  <si>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</si>
  <si>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</si>
  <si>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</si>
  <si>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</si>
  <si>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</si>
  <si>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</si>
  <si>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</si>
  <si>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</si>
  <si>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</si>
  <si>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</si>
  <si>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</si>
  <si>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</si>
  <si>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</si>
  <si>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</si>
  <si>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</si>
  <si>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</si>
  <si>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</si>
  <si>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</si>
  <si>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</si>
  <si>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</si>
  <si>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</si>
  <si>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</si>
  <si>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</si>
  <si>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</si>
  <si>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</si>
  <si>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</si>
  <si>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</si>
  <si>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</si>
  <si>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</si>
  <si>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</si>
  <si>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</si>
  <si>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</si>
  <si>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</si>
  <si>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</si>
  <si>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</si>
  <si>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</si>
  <si>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</si>
  <si>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</si>
  <si>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</si>
  <si>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</si>
  <si>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</si>
  <si>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</si>
  <si>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</si>
  <si>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</si>
  <si>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</si>
  <si>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</si>
  <si>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</si>
  <si>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</si>
  <si>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</si>
  <si>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</si>
  <si>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</si>
  <si>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</si>
  <si>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</si>
  <si>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</si>
  <si>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</si>
  <si>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</si>
  <si>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</si>
  <si>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</si>
  <si>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</si>
  <si>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</si>
  <si>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</si>
  <si>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</si>
  <si>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</si>
  <si>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</si>
  <si>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</si>
  <si>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</si>
  <si>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</si>
  <si>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</si>
  <si>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</si>
  <si>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</si>
  <si>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</si>
  <si>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</si>
  <si>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</si>
  <si>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</si>
  <si>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</si>
  <si>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</si>
  <si>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</si>
  <si>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</si>
  <si>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</si>
  <si>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</si>
  <si>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</si>
  <si>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</si>
  <si>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</si>
  <si>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</si>
  <si>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</si>
  <si>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</si>
  <si>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</si>
  <si>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</si>
  <si>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</si>
  <si>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</si>
  <si>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</si>
  <si>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</si>
  <si>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</si>
  <si>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</si>
  <si>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</si>
  <si>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</si>
  <si>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</si>
  <si>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</si>
  <si>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</si>
  <si>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</si>
  <si>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</si>
  <si>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</si>
  <si>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</si>
  <si>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</si>
  <si>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</si>
  <si>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</si>
  <si>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</si>
  <si>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</si>
  <si>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</si>
  <si>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</si>
  <si>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</si>
  <si>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</si>
  <si>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</si>
  <si>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</si>
  <si>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</si>
  <si>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</si>
  <si>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</si>
  <si>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</si>
  <si>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</si>
  <si>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</si>
  <si>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</si>
  <si>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</si>
  <si>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</si>
  <si>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</si>
  <si>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</si>
  <si>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</si>
  <si>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</si>
  <si>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</si>
  <si>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</si>
  <si>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</si>
  <si>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</si>
  <si>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</si>
  <si>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</si>
  <si>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</si>
  <si>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</si>
  <si>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</si>
  <si>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</si>
  <si>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</si>
  <si>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</si>
  <si>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</si>
  <si>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</si>
  <si>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</si>
  <si>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</si>
  <si>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</si>
  <si>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</si>
  <si>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</si>
  <si>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</si>
  <si>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</si>
  <si>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</si>
  <si>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</si>
  <si>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</si>
  <si>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</si>
  <si>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</si>
  <si>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</si>
  <si>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</si>
  <si>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</si>
  <si>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</si>
  <si>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</si>
  <si>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</si>
  <si>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</si>
  <si>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</si>
  <si>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</si>
  <si>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</si>
  <si>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</si>
  <si>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</si>
  <si>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</si>
  <si>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</si>
  <si>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</si>
  <si>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</si>
  <si>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</si>
  <si>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</si>
  <si>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</si>
  <si>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</si>
  <si>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</si>
  <si>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</si>
  <si>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</si>
  <si>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</si>
  <si>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</si>
  <si>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</si>
  <si>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</si>
  <si>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</si>
  <si>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</si>
  <si>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</si>
  <si>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</si>
  <si>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</si>
  <si>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</si>
  <si>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</si>
  <si>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</si>
  <si>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</si>
  <si>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</si>
  <si>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</si>
  <si>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</si>
  <si>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</si>
  <si>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</si>
  <si>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</si>
  <si>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</si>
  <si>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</si>
  <si>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</si>
  <si>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</si>
  <si>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</si>
  <si>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</si>
  <si>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</si>
  <si>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</si>
  <si>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</si>
  <si>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</si>
  <si>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</si>
  <si>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</si>
  <si>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</si>
  <si>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</si>
  <si>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</si>
  <si>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</si>
  <si>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</si>
  <si>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</si>
  <si>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</si>
  <si>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</si>
  <si>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</si>
  <si>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</si>
  <si>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</si>
  <si>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</si>
  <si>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</si>
  <si>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</si>
  <si>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</si>
  <si>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</si>
  <si>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</si>
  <si>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</si>
  <si>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</si>
  <si>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</si>
  <si>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</si>
  <si>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</si>
  <si>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</si>
  <si>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</si>
  <si>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</si>
  <si>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</si>
  <si>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</si>
  <si>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</si>
  <si>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</si>
  <si>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</si>
  <si>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</si>
  <si>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</si>
  <si>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</si>
  <si>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</si>
  <si>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</si>
  <si>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</si>
  <si>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</si>
  <si>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</si>
  <si>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</si>
  <si>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</si>
  <si>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</si>
  <si>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</si>
  <si>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</si>
  <si>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</si>
  <si>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</si>
  <si>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</si>
  <si>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</si>
  <si>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</si>
  <si>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</si>
  <si>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</si>
  <si>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</si>
  <si>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</si>
  <si>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</si>
  <si>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</si>
  <si>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</si>
  <si>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</si>
  <si>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</si>
  <si>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</si>
  <si>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</si>
  <si>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</si>
  <si>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</si>
  <si>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</si>
  <si>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</si>
  <si>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</si>
  <si>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</si>
  <si>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</si>
  <si>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</si>
  <si>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</si>
  <si>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</si>
  <si>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</si>
  <si>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</si>
  <si>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</si>
  <si>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</si>
  <si>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</si>
  <si>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</si>
  <si>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</si>
  <si>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</si>
  <si>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</si>
  <si>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</si>
  <si>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</si>
  <si>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</si>
  <si>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</si>
  <si>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</si>
  <si>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</si>
  <si>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</si>
  <si>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</si>
  <si>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</si>
  <si>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</si>
  <si>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</si>
  <si>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</si>
  <si>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</si>
  <si>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</si>
  <si>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</si>
  <si>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</si>
  <si>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</si>
  <si>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</si>
  <si>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</si>
  <si>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</si>
  <si>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</si>
  <si>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</si>
  <si>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</si>
  <si>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</si>
  <si>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</si>
  <si>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</si>
  <si>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</si>
  <si>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</si>
  <si>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</si>
  <si>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</si>
  <si>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</si>
  <si>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</si>
  <si>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</si>
  <si>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</si>
  <si>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</si>
  <si>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</si>
  <si>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</si>
  <si>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</si>
  <si>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</si>
  <si>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</si>
  <si>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</si>
  <si>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</si>
  <si>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</si>
  <si>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</si>
  <si>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</si>
  <si>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</si>
  <si>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</si>
  <si>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</si>
  <si>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</si>
  <si>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</si>
  <si>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</si>
  <si>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</si>
  <si>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</si>
  <si>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</si>
  <si>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</si>
  <si>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</si>
  <si>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</si>
  <si>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</si>
  <si>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</si>
  <si>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</si>
  <si>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</si>
  <si>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</si>
  <si>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</si>
  <si>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</si>
  <si>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</si>
  <si>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</si>
  <si>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</si>
  <si>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</si>
  <si>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</si>
  <si>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</si>
  <si>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</si>
  <si>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</si>
  <si>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</si>
  <si>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</si>
  <si>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</si>
  <si>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</si>
  <si>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</si>
  <si>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</si>
  <si>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</si>
  <si>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</si>
  <si>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</si>
  <si>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</si>
  <si>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</si>
  <si>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</si>
  <si>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</si>
  <si>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</si>
  <si>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</si>
  <si>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</si>
  <si>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</si>
  <si>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</si>
  <si>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</si>
  <si>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</si>
  <si>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</si>
  <si>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</si>
  <si>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</si>
  <si>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</si>
  <si>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</si>
  <si>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</si>
  <si>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</si>
  <si>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</si>
  <si>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</si>
  <si>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</si>
  <si>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</si>
  <si>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</si>
  <si>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</si>
  <si>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</si>
  <si>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</si>
  <si>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</si>
  <si>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</si>
  <si>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</si>
  <si>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</si>
  <si>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</si>
  <si>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</si>
  <si>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</si>
  <si>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</si>
  <si>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</si>
  <si>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</si>
  <si>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</si>
  <si>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</si>
  <si>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</si>
  <si>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</si>
  <si>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</si>
  <si>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</si>
  <si>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</si>
  <si>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</si>
  <si>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</si>
  <si>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</si>
  <si>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</si>
  <si>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</si>
  <si>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</si>
  <si>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</si>
  <si>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</si>
  <si>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</si>
  <si>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</si>
  <si>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</si>
  <si>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</si>
  <si>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</si>
  <si>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</si>
  <si>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</si>
  <si>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</si>
  <si>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</si>
  <si>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</si>
  <si>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</si>
  <si>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</si>
  <si>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</si>
  <si>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</si>
  <si>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</si>
  <si>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</si>
  <si>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</si>
  <si>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</si>
  <si>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</si>
  <si>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</si>
  <si>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</si>
  <si>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</si>
  <si>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</si>
  <si>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</si>
  <si>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</si>
  <si>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</si>
  <si>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</si>
  <si>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</si>
  <si>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</si>
  <si>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</si>
  <si>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</si>
  <si>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</si>
  <si>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</si>
  <si>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</si>
  <si>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</si>
  <si>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</si>
  <si>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</si>
  <si>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</si>
  <si>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</si>
  <si>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</si>
  <si>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</si>
  <si>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</si>
  <si>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</si>
  <si>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</si>
  <si>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</si>
  <si>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</si>
  <si>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</si>
  <si>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</si>
  <si>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</si>
  <si>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</si>
  <si>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</si>
  <si>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</si>
  <si>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</si>
  <si>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</si>
  <si>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</si>
  <si>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</si>
  <si>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</si>
  <si>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</si>
  <si>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</si>
  <si>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</si>
  <si>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</si>
  <si>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</si>
  <si>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</si>
  <si>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</si>
  <si>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</si>
  <si>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</si>
  <si>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</si>
  <si>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</si>
  <si>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</si>
  <si>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</si>
  <si>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</si>
  <si>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</si>
  <si>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</si>
  <si>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</si>
  <si>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</si>
  <si>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</si>
  <si>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</si>
  <si>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</si>
  <si>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</si>
  <si>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</si>
  <si>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</si>
  <si>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</si>
  <si>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</si>
  <si>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</si>
  <si>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</si>
  <si>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</si>
  <si>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</si>
  <si>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</si>
  <si>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</si>
  <si>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</si>
  <si>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</si>
  <si>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</si>
  <si>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</si>
  <si>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</si>
  <si>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</si>
  <si>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</si>
  <si>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</si>
  <si>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</si>
  <si>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</si>
  <si>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</si>
  <si>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</si>
  <si>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</si>
  <si>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</si>
  <si>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</si>
  <si>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</si>
  <si>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</si>
  <si>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</si>
  <si>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</si>
  <si>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</si>
  <si>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</si>
  <si>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</si>
  <si>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</si>
  <si>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</si>
  <si>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</si>
  <si>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</si>
  <si>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</si>
  <si>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</si>
  <si>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</si>
  <si>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</si>
  <si>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</si>
  <si>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</si>
  <si>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</si>
  <si>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</si>
  <si>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</si>
  <si>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</si>
  <si>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</si>
  <si>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</si>
  <si>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</si>
  <si>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</si>
  <si>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</si>
  <si>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</si>
  <si>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</si>
  <si>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</si>
  <si>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</si>
  <si>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</si>
  <si>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</si>
  <si>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</si>
  <si>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</si>
  <si>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</si>
  <si>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</si>
  <si>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</si>
  <si>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</si>
  <si>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</si>
  <si>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</si>
  <si>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</si>
  <si>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</si>
  <si>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</si>
  <si>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</si>
  <si>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</si>
  <si>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</si>
  <si>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</si>
  <si>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</si>
  <si>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</si>
  <si>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</si>
  <si>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</si>
  <si>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</si>
  <si>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</si>
  <si>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</si>
  <si>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</si>
  <si>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</si>
  <si>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</si>
  <si>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</si>
  <si>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</si>
  <si>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</si>
  <si>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</si>
  <si>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</si>
  <si>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</si>
  <si>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</si>
  <si>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</si>
  <si>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</si>
  <si>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</si>
  <si>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</si>
  <si>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</si>
  <si>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</si>
  <si>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</si>
  <si>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</si>
  <si>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</si>
  <si>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</si>
  <si>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</si>
  <si>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</si>
  <si>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</si>
  <si>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</si>
  <si>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</si>
  <si>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</si>
  <si>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</si>
  <si>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</si>
  <si>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</si>
  <si>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</si>
  <si>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</si>
  <si>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</si>
  <si>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</si>
  <si>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</si>
  <si>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</si>
  <si>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</si>
  <si>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</si>
  <si>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</si>
  <si>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</si>
  <si>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</si>
  <si>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</si>
  <si>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</si>
  <si>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</si>
  <si>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</si>
  <si>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</si>
  <si>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</si>
  <si>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</si>
  <si>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</si>
  <si>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</si>
  <si>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</si>
  <si>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</si>
  <si>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</si>
  <si>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</si>
  <si>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</si>
  <si>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</si>
  <si>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</si>
  <si>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</si>
  <si>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</si>
  <si>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</si>
  <si>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</si>
  <si>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</si>
  <si>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</si>
  <si>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</si>
  <si>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</si>
  <si>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</si>
  <si>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</si>
  <si>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</si>
  <si>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</si>
  <si>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</si>
  <si>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</si>
  <si>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</si>
  <si>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</si>
  <si>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</si>
  <si>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</si>
  <si>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</si>
  <si>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</si>
  <si>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</si>
  <si>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</si>
  <si>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</si>
  <si>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</si>
  <si>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</si>
  <si>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</si>
  <si>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</si>
  <si>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</si>
  <si>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</si>
  <si>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</si>
  <si>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</si>
  <si>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</si>
  <si>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</si>
  <si>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</si>
  <si>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</si>
  <si>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</si>
  <si>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</si>
  <si>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</si>
  <si>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</si>
  <si>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</si>
  <si>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</si>
  <si>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</si>
  <si>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</si>
  <si>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</si>
  <si>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</si>
  <si>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</si>
  <si>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</si>
  <si>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</si>
  <si>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</si>
  <si>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</si>
  <si>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</si>
  <si>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</si>
  <si>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</si>
  <si>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</si>
  <si>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</si>
  <si>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</si>
  <si>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</si>
  <si>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</si>
  <si>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</si>
  <si>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</si>
  <si>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</si>
  <si>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</si>
  <si>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</si>
  <si>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</si>
  <si>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</si>
  <si>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</si>
  <si>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</si>
  <si>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</si>
  <si>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</si>
  <si>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</si>
  <si>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</si>
  <si>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</si>
  <si>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</si>
  <si>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</si>
  <si>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</si>
  <si>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</si>
  <si>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</si>
  <si>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</si>
  <si>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</si>
  <si>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</si>
  <si>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</si>
  <si>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</si>
  <si>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</si>
  <si>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</si>
  <si>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</si>
  <si>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</si>
  <si>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</si>
  <si>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</si>
  <si>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</si>
  <si>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</si>
  <si>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</si>
  <si>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</si>
  <si>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</si>
  <si>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</si>
  <si>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</si>
  <si>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</si>
  <si>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</si>
  <si>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</si>
  <si>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</si>
  <si>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</si>
  <si>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</si>
  <si>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</si>
  <si>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</si>
  <si>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</si>
  <si>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</si>
  <si>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</si>
  <si>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</si>
  <si>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</si>
  <si>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</si>
  <si>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</si>
  <si>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</si>
  <si>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</si>
  <si>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</si>
  <si>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</si>
  <si>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</si>
  <si>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</si>
  <si>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</si>
  <si>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</si>
  <si>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</si>
  <si>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</si>
  <si>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</si>
  <si>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</si>
  <si>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</si>
  <si>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</si>
  <si>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</si>
  <si>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</si>
  <si>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</si>
  <si>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</si>
  <si>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</si>
  <si>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</si>
  <si>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</si>
  <si>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</si>
  <si>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</si>
  <si>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</si>
  <si>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</si>
  <si>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</si>
  <si>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</si>
  <si>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</si>
  <si>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</si>
  <si>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</si>
  <si>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</si>
  <si>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</si>
  <si>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</si>
  <si>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</si>
  <si>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</si>
  <si>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</si>
  <si>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</si>
  <si>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</si>
  <si>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</si>
  <si>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</si>
  <si>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</si>
  <si>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</si>
  <si>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</si>
  <si>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</si>
  <si>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</si>
  <si>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</si>
  <si>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</si>
  <si>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</si>
  <si>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</si>
  <si>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</si>
  <si>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</si>
  <si>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</si>
  <si>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</si>
  <si>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</si>
  <si>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</si>
  <si>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</si>
  <si>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</si>
  <si>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</si>
  <si>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</si>
  <si>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</si>
  <si>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</si>
  <si>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</si>
  <si>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</si>
  <si>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</si>
  <si>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</si>
  <si>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</si>
  <si>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</si>
  <si>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</si>
  <si>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</si>
  <si>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</si>
  <si>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</si>
  <si>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</si>
  <si>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</si>
  <si>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</si>
  <si>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</si>
  <si>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</si>
  <si>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</si>
  <si>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</si>
  <si>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</si>
  <si>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</si>
  <si>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</si>
  <si>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</si>
  <si>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</si>
  <si>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</si>
  <si>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</si>
  <si>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</si>
  <si>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</si>
  <si>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</si>
  <si>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</si>
  <si>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</si>
  <si>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</si>
  <si>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</si>
  <si>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</si>
  <si>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</si>
  <si>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</si>
  <si>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</si>
  <si>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</si>
  <si>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</si>
  <si>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</si>
  <si>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</si>
  <si>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</si>
  <si>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</si>
  <si>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</si>
  <si>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</si>
  <si>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</si>
  <si>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</si>
  <si>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</si>
  <si>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</si>
  <si>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</si>
  <si>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</si>
  <si>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</si>
  <si>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</si>
  <si>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</si>
  <si>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</si>
  <si>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</si>
  <si>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</si>
  <si>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</si>
  <si>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</si>
  <si>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</si>
  <si>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</si>
  <si>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</si>
  <si>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</si>
  <si>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</si>
  <si>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</si>
  <si>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</si>
  <si>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</si>
  <si>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</si>
  <si>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</si>
  <si>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</si>
  <si>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</si>
  <si>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</si>
  <si>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</si>
  <si>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</si>
  <si>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</si>
  <si>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</si>
  <si>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</si>
  <si>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</si>
  <si>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</si>
  <si>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</si>
  <si>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</si>
  <si>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</si>
  <si>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</si>
  <si>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</si>
  <si>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</si>
  <si>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</si>
  <si>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</si>
  <si>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</si>
  <si>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</si>
  <si>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</si>
  <si>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</si>
  <si>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</si>
  <si>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</si>
  <si>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</si>
  <si>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</si>
  <si>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</si>
  <si>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</si>
  <si>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</si>
  <si>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</si>
  <si>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</si>
  <si>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</si>
  <si>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</si>
  <si>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</si>
  <si>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</si>
  <si>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</si>
  <si>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</si>
  <si>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</si>
  <si>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</si>
  <si>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</si>
  <si>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</si>
  <si>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</si>
  <si>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</si>
  <si>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</si>
  <si>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</si>
  <si>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</si>
  <si>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</si>
  <si>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</si>
  <si>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</si>
  <si>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</si>
  <si>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</si>
  <si>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</si>
  <si>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</si>
  <si>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</si>
  <si>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</si>
  <si>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</si>
  <si>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</si>
  <si>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</si>
  <si>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</si>
  <si>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</si>
  <si>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</si>
  <si>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</si>
  <si>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</si>
  <si>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</si>
  <si>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</si>
  <si>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</si>
  <si>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</si>
  <si>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</si>
  <si>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</si>
  <si>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</si>
  <si>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</si>
  <si>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</si>
  <si>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</si>
  <si>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</si>
  <si>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</si>
  <si>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</si>
  <si>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</si>
  <si>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</si>
  <si>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</si>
  <si>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</si>
  <si>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</si>
  <si>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</si>
  <si>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</si>
  <si>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</si>
  <si>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</si>
  <si>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</si>
  <si>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</si>
  <si>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</si>
  <si>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</si>
  <si>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</si>
  <si>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</si>
  <si>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</si>
  <si>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</si>
  <si>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</si>
  <si>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</si>
  <si>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</si>
  <si>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</si>
  <si>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</si>
  <si>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</si>
  <si>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</si>
  <si>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</si>
  <si>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</si>
  <si>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</si>
  <si>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</si>
  <si>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</si>
  <si>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</si>
  <si>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</si>
  <si>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</si>
  <si>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</si>
  <si>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</si>
  <si>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</si>
  <si>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</si>
  <si>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</si>
  <si>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</si>
  <si>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</si>
  <si>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</si>
  <si>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</si>
  <si>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</si>
  <si>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</si>
  <si>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</si>
  <si>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</si>
  <si>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</si>
  <si>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</si>
  <si>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</si>
  <si>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</si>
  <si>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</si>
  <si>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</si>
  <si>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</si>
  <si>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</si>
  <si>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</si>
  <si>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</si>
  <si>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</si>
  <si>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</si>
  <si>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</si>
  <si>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</si>
  <si>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</si>
  <si>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</si>
  <si>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</si>
  <si>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</si>
  <si>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</si>
  <si>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</si>
  <si>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</si>
  <si>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</si>
  <si>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</si>
  <si>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</si>
  <si>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</si>
  <si>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</si>
  <si>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</si>
  <si>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</si>
  <si>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</si>
  <si>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</si>
  <si>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</si>
  <si>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</si>
  <si>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</si>
  <si>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</si>
  <si>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</si>
  <si>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</si>
  <si>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</si>
  <si>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</si>
  <si>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</si>
  <si>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</si>
  <si>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</si>
  <si>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</si>
  <si>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</si>
  <si>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</si>
  <si>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</si>
  <si>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</si>
  <si>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</si>
  <si>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</si>
  <si>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</si>
  <si>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</si>
  <si>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</si>
  <si>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</si>
  <si>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</si>
  <si>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</si>
  <si>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</si>
  <si>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</si>
  <si>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</si>
  <si>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</si>
  <si>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</si>
  <si>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</si>
  <si>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</si>
  <si>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</si>
  <si>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</si>
  <si>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</si>
  <si>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</si>
  <si>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</si>
  <si>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</si>
  <si>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</si>
  <si>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</si>
  <si>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</si>
  <si>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</si>
  <si>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</si>
  <si>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</si>
  <si>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</si>
  <si>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</si>
  <si>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</si>
  <si>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</si>
  <si>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</si>
  <si>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</si>
  <si>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</si>
  <si>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</si>
  <si>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</si>
  <si>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</si>
  <si>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</si>
  <si>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</si>
  <si>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</si>
  <si>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</si>
  <si>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</si>
  <si>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</si>
  <si>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</si>
  <si>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</si>
  <si>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</si>
  <si>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</si>
  <si>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</si>
  <si>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</si>
  <si>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</si>
  <si>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</si>
  <si>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</si>
  <si>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</si>
  <si>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</si>
  <si>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</si>
  <si>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</si>
  <si>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</si>
  <si>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</si>
  <si>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</si>
  <si>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</si>
  <si>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</si>
  <si>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</si>
  <si>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</si>
  <si>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</si>
  <si>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</si>
  <si>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</si>
  <si>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</si>
  <si>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</si>
  <si>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</si>
  <si>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</si>
  <si>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</si>
  <si>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</si>
  <si>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</si>
  <si>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</si>
  <si>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</si>
  <si>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</si>
  <si>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</si>
  <si>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</si>
  <si>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</si>
  <si>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</si>
  <si>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</si>
  <si>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</si>
  <si>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</si>
  <si>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</si>
  <si>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</si>
  <si>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</si>
  <si>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</si>
  <si>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</si>
  <si>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</si>
  <si>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</si>
  <si>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</si>
  <si>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</si>
  <si>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</si>
  <si>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</si>
  <si>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</si>
  <si>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</si>
  <si>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</si>
  <si>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</si>
  <si>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</si>
  <si>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</si>
  <si>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</si>
  <si>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</si>
  <si>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</si>
  <si>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</si>
  <si>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</si>
  <si>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</si>
  <si>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</si>
  <si>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</si>
  <si>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</si>
  <si>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</si>
  <si>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</si>
  <si>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</si>
  <si>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</si>
  <si>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</si>
  <si>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</si>
  <si>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</si>
  <si>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</si>
  <si>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</si>
  <si>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</si>
  <si>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</si>
  <si>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</si>
  <si>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</si>
  <si>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</si>
  <si>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</si>
  <si>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</si>
  <si>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</si>
  <si>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</si>
  <si>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</si>
  <si>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</si>
  <si>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</si>
  <si>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</si>
  <si>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</si>
  <si>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</si>
  <si>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</si>
  <si>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</si>
  <si>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</si>
  <si>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</si>
  <si>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</si>
  <si>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</si>
  <si>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</si>
  <si>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</si>
  <si>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</si>
  <si>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</si>
  <si>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</si>
  <si>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</si>
  <si>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</si>
  <si>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</si>
  <si>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</si>
  <si>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</si>
  <si>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</si>
  <si>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</si>
  <si>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</si>
  <si>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</si>
  <si>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</si>
  <si>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</si>
  <si>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</si>
  <si>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</si>
  <si>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</si>
  <si>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</si>
  <si>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</si>
  <si>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</si>
  <si>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</si>
  <si>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</si>
  <si>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</si>
  <si>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</si>
  <si>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</si>
  <si>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</si>
  <si>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</si>
  <si>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</si>
  <si>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</si>
  <si>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</si>
  <si>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</si>
  <si>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</si>
  <si>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</si>
  <si>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</si>
  <si>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</si>
  <si>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</si>
  <si>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</si>
  <si>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</si>
  <si>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</si>
  <si>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</si>
  <si>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</si>
  <si>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</si>
  <si>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</si>
  <si>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</si>
  <si>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</si>
  <si>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</si>
  <si>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</si>
  <si>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</si>
  <si>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</si>
  <si>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</si>
  <si>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</si>
  <si>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</si>
  <si>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</si>
  <si>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</si>
  <si>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</si>
  <si>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</si>
  <si>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</si>
  <si>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</si>
  <si>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</si>
  <si>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</si>
  <si>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</si>
  <si>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</si>
  <si>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</si>
  <si>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</si>
  <si>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</si>
  <si>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</si>
  <si>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</si>
  <si>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</si>
  <si>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</si>
  <si>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</si>
  <si>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</si>
  <si>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</si>
  <si>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</si>
  <si>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</si>
  <si>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</si>
  <si>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</si>
  <si>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</si>
  <si>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</si>
  <si>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</si>
  <si>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</si>
  <si>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</si>
  <si>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</si>
  <si>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</si>
  <si>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</si>
  <si>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</si>
  <si>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</si>
  <si>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</si>
  <si>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</si>
  <si>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</si>
  <si>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</si>
  <si>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</si>
  <si>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</si>
  <si>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</si>
  <si>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</si>
  <si>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</si>
  <si>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</si>
  <si>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</si>
  <si>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</si>
  <si>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</si>
  <si>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</si>
  <si>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</si>
  <si>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</si>
  <si>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</si>
  <si>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</si>
  <si>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</si>
  <si>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</si>
  <si>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</si>
  <si>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</si>
  <si>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</si>
  <si>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</si>
  <si>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</si>
  <si>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</si>
  <si>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</si>
  <si>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</si>
  <si>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</si>
  <si>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</si>
  <si>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</si>
  <si>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</si>
  <si>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</si>
  <si>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</si>
  <si>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</si>
  <si>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</si>
  <si>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</si>
  <si>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</si>
  <si>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</si>
  <si>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</si>
  <si>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</si>
  <si>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</si>
  <si>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</si>
  <si>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</si>
  <si>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</si>
  <si>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</si>
  <si>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</si>
  <si>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</si>
  <si>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</si>
  <si>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</si>
  <si>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</si>
  <si>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</si>
  <si>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</si>
  <si>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</si>
  <si>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</si>
  <si>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</si>
  <si>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</si>
  <si>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</si>
  <si>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</si>
  <si>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</si>
  <si>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</si>
  <si>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</si>
  <si>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</si>
  <si>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</si>
  <si>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</si>
  <si>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</si>
  <si>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</si>
  <si>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</si>
  <si>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</si>
  <si>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</si>
  <si>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</si>
  <si>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</si>
  <si>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</si>
  <si>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</si>
  <si>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</si>
  <si>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</si>
  <si>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</si>
  <si>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</si>
  <si>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</si>
  <si>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</si>
  <si>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</si>
  <si>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</si>
  <si>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</si>
  <si>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</si>
  <si>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</si>
  <si>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</si>
  <si>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</si>
  <si>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</si>
  <si>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</si>
  <si>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</si>
  <si>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</si>
  <si>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</si>
  <si>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</si>
  <si>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</si>
  <si>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</si>
  <si>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</si>
  <si>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</si>
  <si>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</si>
  <si>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</si>
  <si>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</si>
  <si>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</si>
  <si>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</si>
  <si>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</si>
  <si>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</si>
  <si>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</si>
  <si>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</si>
  <si>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</si>
  <si>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</si>
  <si>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</si>
  <si>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</si>
  <si>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</si>
  <si>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</si>
  <si>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</si>
  <si>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</si>
  <si>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</si>
  <si>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</si>
  <si>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</si>
  <si>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</si>
  <si>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</si>
  <si>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</si>
  <si>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</si>
  <si>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</si>
  <si>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</si>
  <si>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</si>
  <si>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</si>
  <si>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</si>
  <si>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</si>
  <si>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</si>
  <si>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</si>
  <si>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</si>
  <si>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</si>
  <si>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</si>
  <si>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</si>
  <si>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</si>
  <si>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</si>
  <si>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</si>
  <si>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</si>
  <si>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</si>
  <si>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</si>
  <si>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</si>
  <si>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</si>
  <si>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</si>
  <si>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</si>
  <si>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</si>
  <si>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</si>
  <si>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</si>
  <si>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</si>
  <si>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</si>
  <si>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</si>
  <si>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</si>
  <si>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</si>
  <si>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</si>
  <si>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</si>
  <si>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</si>
  <si>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</si>
  <si>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</si>
  <si>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</si>
  <si>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</si>
  <si>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</si>
  <si>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</si>
  <si>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</si>
  <si>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</si>
  <si>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</si>
  <si>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</si>
  <si>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</si>
  <si>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</si>
  <si>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</si>
  <si>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</si>
  <si>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</si>
  <si>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</si>
  <si>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</si>
  <si>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</si>
  <si>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</si>
  <si>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</si>
  <si>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</si>
  <si>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</si>
  <si>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</si>
  <si>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</si>
  <si>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</si>
  <si>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</si>
  <si>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</si>
  <si>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</si>
  <si>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</si>
  <si>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</si>
  <si>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</si>
  <si>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</si>
  <si>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</si>
  <si>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</si>
  <si>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</si>
  <si>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</si>
  <si>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</si>
  <si>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</si>
  <si>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</si>
  <si>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</si>
  <si>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</si>
  <si>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</si>
  <si>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</si>
  <si>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</si>
  <si>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</si>
  <si>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</si>
  <si>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</si>
  <si>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</si>
  <si>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</si>
  <si>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</si>
  <si>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</si>
  <si>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</si>
  <si>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</si>
  <si>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</si>
  <si>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</si>
  <si>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</si>
  <si>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</si>
  <si>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</si>
  <si>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</si>
  <si>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</si>
  <si>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</si>
  <si>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</si>
  <si>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</si>
  <si>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</si>
  <si>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</si>
  <si>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</si>
  <si>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</si>
  <si>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</si>
  <si>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</si>
  <si>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</si>
  <si>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</si>
  <si>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</si>
  <si>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</si>
  <si>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</si>
  <si>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</si>
  <si>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</si>
  <si>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</si>
  <si>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</si>
  <si>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</si>
  <si>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</si>
  <si>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</si>
  <si>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</si>
  <si>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</si>
  <si>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</si>
  <si>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</si>
  <si>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</si>
  <si>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</si>
  <si>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</si>
  <si>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</si>
  <si>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</si>
  <si>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</si>
  <si>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</si>
  <si>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</si>
  <si>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</si>
  <si>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</si>
  <si>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</si>
  <si>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</si>
  <si>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</si>
  <si>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</si>
  <si>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</si>
  <si>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</si>
  <si>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</si>
  <si>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</si>
  <si>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</si>
  <si>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</si>
  <si>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</si>
  <si>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</si>
  <si>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</si>
  <si>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</si>
  <si>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</si>
  <si>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</si>
  <si>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</si>
  <si>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</si>
  <si>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</si>
  <si>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</si>
  <si>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</si>
  <si>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</si>
  <si>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</si>
  <si>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</si>
  <si>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</si>
  <si>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</si>
  <si>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</si>
  <si>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</si>
  <si>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</si>
  <si>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</si>
  <si>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</si>
  <si>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</si>
  <si>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</si>
  <si>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</si>
  <si>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</si>
  <si>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</si>
  <si>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</si>
  <si>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</si>
  <si>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</si>
  <si>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</si>
  <si>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</si>
  <si>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</si>
  <si>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</si>
  <si>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</si>
  <si>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</si>
  <si>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</si>
  <si>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</si>
  <si>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</si>
  <si>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</si>
  <si>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</si>
  <si>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</si>
  <si>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</si>
  <si>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</si>
  <si>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</si>
  <si>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</si>
  <si>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</si>
  <si>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</si>
  <si>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</si>
  <si>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</si>
  <si>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</si>
  <si>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</si>
  <si>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</si>
  <si>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</si>
  <si>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</si>
  <si>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</si>
  <si>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</si>
  <si>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</si>
  <si>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</si>
  <si>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</si>
  <si>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</si>
  <si>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</si>
  <si>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</si>
  <si>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</si>
  <si>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</si>
  <si>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</si>
  <si>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</si>
  <si>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</si>
  <si>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</si>
  <si>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</si>
  <si>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</si>
  <si>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</si>
  <si>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</si>
  <si>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</si>
  <si>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</si>
  <si>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</si>
  <si>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</si>
  <si>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RERO AG</t>
  </si>
  <si>
    <t>Galvanische Prozesse in denen Zinn und Gold eingesetzt werden. Diese Metalle verbleiben auf den Kundenteilen.</t>
  </si>
  <si>
    <t>DUNS 480 426 477</t>
  </si>
  <si>
    <t>CEO</t>
  </si>
  <si>
    <t>Hauptstrasse 96, CH-4437 Waldenburg</t>
  </si>
  <si>
    <t>Thomas Tschopp</t>
  </si>
  <si>
    <t>thomas.tschopp@rero-ag.ch</t>
  </si>
  <si>
    <t>+41 61 965 95 07</t>
  </si>
  <si>
    <t>Jochen Hilbert</t>
  </si>
  <si>
    <t>Qualitätsmanagementbeauftragter</t>
  </si>
  <si>
    <t>jochen.hilbert@rero-ag.ch</t>
  </si>
  <si>
    <t>+41 61 965 95 32</t>
  </si>
  <si>
    <t>100%</t>
  </si>
  <si>
    <t>metalor switzerland</t>
  </si>
  <si>
    <t>https://rero-ag.ch/downloads</t>
  </si>
  <si>
    <t>Die Antworten der Lieferanten werden mit der RMI-Datenbank abgeglichen. Bei Unstimmigkeiten wird der Lieferant kontaktiert. Ggf. wird der Lieferant gesperrt.</t>
  </si>
  <si>
    <t>PT Refined Bangka Tin</t>
  </si>
  <si>
    <t>PT Bangka Serumpun</t>
  </si>
  <si>
    <t>CID001460</t>
  </si>
  <si>
    <t>CID003205</t>
  </si>
  <si>
    <t xml:space="preserve">Metalor Technologies declares that it does business with very limited industrial mines situated in 
CAHRA’s. All Metalor customers operating in these areas are part of international listed companies 
with a very strong commitment to compliance. All those companies meet all requirements of Metalor due diligence and compliance process in line with LBMA, RJC and OECD guidelines. Metalor business in CAHRA’s does not -in any way- finance armed groups, forced labour and other human rights abuses, or support corruption and money laundering. </t>
  </si>
  <si>
    <t>RERO Supplier: Meloxa</t>
  </si>
  <si>
    <t>RERO Supplier: Ampere, Meloxa</t>
  </si>
  <si>
    <t>RERO Supplier: Meloxa / Temp. Ceased operation</t>
  </si>
  <si>
    <t>RERO Suppllier: Metalor</t>
  </si>
  <si>
    <t>RERO Supplier: Ampere</t>
  </si>
  <si>
    <t>https://metalor.com/corporate-social-responsibility/dodd-frank-conflict-minerals/
https://www.ampere.com/en/konfliktminerale/
https://rero-ag.ch/downloads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</si>
</sst>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2386298</xdr:colOff>
      <xdr:row>2</xdr:row>
      <xdr:rowOff>1353833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1810860</xdr:colOff>
      <xdr:row>2</xdr:row>
      <xdr:rowOff>975943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thomas.tschopp@rero-ag.ch"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rero-ag.ch/downloads" TargetMode="External"/><Relationship Id="rId5" Type="http://schemas.openxmlformats.org/officeDocument/2006/relationships/hyperlink" Target="https://metalor.com/corporate-social-responsibility/dodd-frank-conflict-minerals/" TargetMode="External"/><Relationship Id="rId10" Type="http://schemas.openxmlformats.org/officeDocument/2006/relationships/comments" Target="../comments1.xml"/><Relationship Id="rId4" Type="http://schemas.openxmlformats.org/officeDocument/2006/relationships/hyperlink" Target="mailto:jochen.hilbert@rero-ag.ch"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4"/>
  <cols>
    <col min="1" max="1" width="0.8203125" customWidth="1"/>
    <col min="2" max="2" width="8" customWidth="1"/>
    <col min="3" max="3" width="8.52734375" customWidth="1"/>
    <col min="4" max="4" width="13" style="180" customWidth="1"/>
    <col min="5" max="5" width="42.3515625" customWidth="1"/>
    <col min="6" max="6" width="53.3515625" customWidth="1"/>
    <col min="7" max="7" width="0.8203125" customWidth="1"/>
  </cols>
  <sheetData>
    <row r="1" spans="1:7" ht="12.75" thickTop="1">
      <c r="A1" s="7"/>
      <c r="B1" s="8"/>
      <c r="C1" s="8"/>
      <c r="D1" s="174"/>
      <c r="E1" s="8"/>
      <c r="F1" s="8"/>
      <c r="G1" s="9"/>
    </row>
    <row r="2" spans="1:7">
      <c r="A2" s="299"/>
      <c r="B2" s="5" t="s">
        <v>818</v>
      </c>
      <c r="C2" s="3"/>
      <c r="D2" s="175"/>
      <c r="E2" s="3"/>
      <c r="F2" s="3"/>
      <c r="G2" s="25"/>
    </row>
    <row r="3" spans="1:7">
      <c r="A3" s="299"/>
      <c r="B3" s="3" t="s">
        <v>811</v>
      </c>
      <c r="C3" s="5"/>
      <c r="D3" s="176"/>
      <c r="E3" s="3"/>
      <c r="F3" s="5"/>
      <c r="G3" s="25"/>
    </row>
    <row r="4" spans="1:7" ht="15">
      <c r="A4" s="299"/>
      <c r="B4" s="30" t="s">
        <v>820</v>
      </c>
      <c r="C4" s="6"/>
      <c r="D4" s="177"/>
      <c r="E4" s="3"/>
      <c r="F4" s="6"/>
      <c r="G4" s="25"/>
    </row>
    <row r="5" spans="1:7" ht="12.75">
      <c r="A5" s="299"/>
      <c r="B5" s="29" t="s">
        <v>1009</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821</v>
      </c>
      <c r="C9" s="302"/>
      <c r="D9" s="302"/>
      <c r="E9" s="302"/>
      <c r="F9" s="302"/>
      <c r="G9" s="25"/>
    </row>
    <row r="10" spans="1:7" ht="27" customHeight="1">
      <c r="A10" s="299"/>
      <c r="B10" s="303" t="s">
        <v>425</v>
      </c>
      <c r="C10" s="303"/>
      <c r="D10" s="303"/>
      <c r="E10" s="303"/>
      <c r="F10" s="303"/>
      <c r="G10" s="25"/>
    </row>
    <row r="11" spans="1:7" ht="27" customHeight="1">
      <c r="A11" s="299"/>
      <c r="B11" s="304"/>
      <c r="C11" s="304"/>
      <c r="D11" s="304"/>
      <c r="E11" s="304"/>
      <c r="F11" s="304"/>
      <c r="G11" s="25"/>
    </row>
    <row r="12" spans="1:7">
      <c r="A12" s="299"/>
      <c r="B12" s="31" t="s">
        <v>819</v>
      </c>
      <c r="C12" s="32" t="s">
        <v>822</v>
      </c>
      <c r="D12" s="179" t="s">
        <v>823</v>
      </c>
      <c r="E12" s="32" t="s">
        <v>595</v>
      </c>
      <c r="F12" s="32" t="s">
        <v>596</v>
      </c>
      <c r="G12" s="25"/>
    </row>
    <row r="13" spans="1:7" ht="20.25">
      <c r="A13" s="299"/>
      <c r="B13" s="2">
        <v>1</v>
      </c>
      <c r="C13" s="27" t="s">
        <v>1057</v>
      </c>
      <c r="D13" s="28" t="s">
        <v>847</v>
      </c>
      <c r="E13" s="163" t="s">
        <v>824</v>
      </c>
      <c r="F13" s="163"/>
      <c r="G13" s="25"/>
    </row>
    <row r="14" spans="1:7" ht="30.4">
      <c r="A14" s="299"/>
      <c r="B14" s="2">
        <v>2</v>
      </c>
      <c r="C14" s="27" t="s">
        <v>1057</v>
      </c>
      <c r="D14" s="28" t="s">
        <v>994</v>
      </c>
      <c r="E14" s="163" t="s">
        <v>515</v>
      </c>
      <c r="F14" s="163" t="s">
        <v>516</v>
      </c>
      <c r="G14" s="25"/>
    </row>
    <row r="15" spans="1:7" ht="89.25" customHeight="1">
      <c r="A15" s="299"/>
      <c r="B15" s="305">
        <v>2.0099999999999998</v>
      </c>
      <c r="C15" s="296" t="s">
        <v>1057</v>
      </c>
      <c r="D15" s="308" t="s">
        <v>2198</v>
      </c>
      <c r="E15" s="164" t="s">
        <v>597</v>
      </c>
      <c r="F15" s="164" t="s">
        <v>600</v>
      </c>
      <c r="G15" s="25"/>
    </row>
    <row r="16" spans="1:7" ht="99" customHeight="1">
      <c r="A16" s="299"/>
      <c r="B16" s="306"/>
      <c r="C16" s="297"/>
      <c r="D16" s="309"/>
      <c r="E16" s="165"/>
      <c r="F16" s="165" t="s">
        <v>598</v>
      </c>
      <c r="G16" s="25"/>
    </row>
    <row r="17" spans="1:7" ht="63" customHeight="1">
      <c r="A17" s="299"/>
      <c r="B17" s="307"/>
      <c r="C17" s="298"/>
      <c r="D17" s="310"/>
      <c r="E17" s="27"/>
      <c r="F17" s="27" t="s">
        <v>599</v>
      </c>
      <c r="G17" s="25"/>
    </row>
    <row r="18" spans="1:7" ht="117" customHeight="1">
      <c r="A18" s="299"/>
      <c r="B18" s="305">
        <v>2.02</v>
      </c>
      <c r="C18" s="296" t="s">
        <v>1057</v>
      </c>
      <c r="D18" s="308" t="s">
        <v>2199</v>
      </c>
      <c r="E18" s="164" t="s">
        <v>426</v>
      </c>
      <c r="F18" s="164" t="s">
        <v>510</v>
      </c>
      <c r="G18" s="25"/>
    </row>
    <row r="19" spans="1:7" ht="71.25" customHeight="1">
      <c r="A19" s="299"/>
      <c r="B19" s="306"/>
      <c r="C19" s="297"/>
      <c r="D19" s="309"/>
      <c r="E19" s="165" t="s">
        <v>514</v>
      </c>
      <c r="F19" s="165" t="s">
        <v>427</v>
      </c>
      <c r="G19" s="25"/>
    </row>
    <row r="20" spans="1:7" ht="90.75" customHeight="1">
      <c r="A20" s="299"/>
      <c r="B20" s="306"/>
      <c r="C20" s="297"/>
      <c r="D20" s="309"/>
      <c r="E20" s="165"/>
      <c r="F20" s="165" t="s">
        <v>602</v>
      </c>
      <c r="G20" s="25"/>
    </row>
    <row r="21" spans="1:7" ht="74.25" customHeight="1">
      <c r="A21" s="299"/>
      <c r="B21" s="307"/>
      <c r="C21" s="298"/>
      <c r="D21" s="310"/>
      <c r="E21" s="27"/>
      <c r="F21" s="27" t="s">
        <v>601</v>
      </c>
      <c r="G21" s="25"/>
    </row>
    <row r="22" spans="1:7" ht="90" customHeight="1">
      <c r="A22" s="299"/>
      <c r="B22" s="314">
        <v>2.0299999999999998</v>
      </c>
      <c r="C22" s="314" t="s">
        <v>794</v>
      </c>
      <c r="D22" s="293" t="s">
        <v>2200</v>
      </c>
      <c r="E22" s="296" t="s">
        <v>424</v>
      </c>
      <c r="F22" s="164" t="s">
        <v>447</v>
      </c>
      <c r="G22" s="25"/>
    </row>
    <row r="23" spans="1:7" ht="109.5" customHeight="1">
      <c r="A23" s="299"/>
      <c r="B23" s="315"/>
      <c r="C23" s="315"/>
      <c r="D23" s="294"/>
      <c r="E23" s="297"/>
      <c r="F23" s="165" t="s">
        <v>795</v>
      </c>
      <c r="G23" s="25"/>
    </row>
    <row r="24" spans="1:7" ht="74.25" customHeight="1">
      <c r="A24" s="299"/>
      <c r="B24" s="316"/>
      <c r="C24" s="316"/>
      <c r="D24" s="295"/>
      <c r="E24" s="298"/>
      <c r="F24" s="27" t="s">
        <v>423</v>
      </c>
      <c r="G24" s="25"/>
    </row>
    <row r="25" spans="1:7" ht="72" customHeight="1">
      <c r="A25" s="299"/>
      <c r="B25" s="2" t="s">
        <v>445</v>
      </c>
      <c r="C25" s="27" t="s">
        <v>446</v>
      </c>
      <c r="D25" s="28" t="s">
        <v>2201</v>
      </c>
      <c r="E25" s="27" t="s">
        <v>2196</v>
      </c>
      <c r="F25" s="27" t="s">
        <v>448</v>
      </c>
      <c r="G25" s="25"/>
    </row>
    <row r="26" spans="1:7" ht="98.25" customHeight="1">
      <c r="A26" s="299"/>
      <c r="B26" s="311">
        <v>3</v>
      </c>
      <c r="C26" s="305" t="s">
        <v>66</v>
      </c>
      <c r="D26" s="308" t="s">
        <v>2202</v>
      </c>
      <c r="E26" s="296" t="s">
        <v>0</v>
      </c>
      <c r="F26" s="164" t="s">
        <v>60</v>
      </c>
      <c r="G26" s="25"/>
    </row>
    <row r="27" spans="1:7" ht="90" customHeight="1">
      <c r="A27" s="299"/>
      <c r="B27" s="312"/>
      <c r="C27" s="306"/>
      <c r="D27" s="309"/>
      <c r="E27" s="297"/>
      <c r="F27" s="165" t="s">
        <v>55</v>
      </c>
      <c r="G27" s="25"/>
    </row>
    <row r="28" spans="1:7" ht="19.5" customHeight="1">
      <c r="A28" s="299"/>
      <c r="B28" s="312"/>
      <c r="C28" s="306"/>
      <c r="D28" s="309"/>
      <c r="E28" s="297"/>
      <c r="F28" s="165" t="s">
        <v>56</v>
      </c>
      <c r="G28" s="25"/>
    </row>
    <row r="29" spans="1:7" ht="74.55" customHeight="1">
      <c r="A29" s="299"/>
      <c r="B29" s="312"/>
      <c r="C29" s="306"/>
      <c r="D29" s="309"/>
      <c r="E29" s="297"/>
      <c r="F29" s="165" t="s">
        <v>57</v>
      </c>
      <c r="G29" s="25"/>
    </row>
    <row r="30" spans="1:7" ht="62.55" customHeight="1">
      <c r="A30" s="299"/>
      <c r="B30" s="312"/>
      <c r="C30" s="306"/>
      <c r="D30" s="309"/>
      <c r="E30" s="297"/>
      <c r="F30" s="165" t="s">
        <v>58</v>
      </c>
      <c r="G30" s="25"/>
    </row>
    <row r="31" spans="1:7" ht="81" customHeight="1">
      <c r="A31" s="299"/>
      <c r="B31" s="312"/>
      <c r="C31" s="306"/>
      <c r="D31" s="309"/>
      <c r="E31" s="297"/>
      <c r="F31" s="165" t="s">
        <v>59</v>
      </c>
      <c r="G31" s="25"/>
    </row>
    <row r="32" spans="1:7" ht="48.75" customHeight="1">
      <c r="A32" s="299"/>
      <c r="B32" s="312"/>
      <c r="C32" s="306"/>
      <c r="D32" s="309"/>
      <c r="E32" s="297"/>
      <c r="F32" s="165" t="s">
        <v>62</v>
      </c>
      <c r="G32" s="25"/>
    </row>
    <row r="33" spans="1:7" ht="98.55" customHeight="1">
      <c r="A33" s="299"/>
      <c r="B33" s="312"/>
      <c r="C33" s="306"/>
      <c r="D33" s="309"/>
      <c r="E33" s="297"/>
      <c r="F33" s="165" t="s">
        <v>61</v>
      </c>
      <c r="G33" s="25"/>
    </row>
    <row r="34" spans="1:7" ht="89.25" customHeight="1">
      <c r="A34" s="299"/>
      <c r="B34" s="312"/>
      <c r="C34" s="306"/>
      <c r="D34" s="309"/>
      <c r="E34" s="297"/>
      <c r="F34" s="165" t="s">
        <v>63</v>
      </c>
      <c r="G34" s="25"/>
    </row>
    <row r="35" spans="1:7" ht="29.25" customHeight="1">
      <c r="A35" s="299"/>
      <c r="B35" s="312"/>
      <c r="C35" s="306"/>
      <c r="D35" s="309"/>
      <c r="E35" s="297"/>
      <c r="F35" s="165" t="s">
        <v>64</v>
      </c>
      <c r="G35" s="25"/>
    </row>
    <row r="36" spans="1:7" ht="107.65">
      <c r="A36" s="299"/>
      <c r="B36" s="313"/>
      <c r="C36" s="307"/>
      <c r="D36" s="310"/>
      <c r="E36" s="298"/>
      <c r="F36" s="166" t="s">
        <v>65</v>
      </c>
      <c r="G36" s="25"/>
    </row>
    <row r="37" spans="1:7" ht="101.25">
      <c r="A37" s="299"/>
      <c r="B37" s="141">
        <v>3.01</v>
      </c>
      <c r="C37" s="142" t="s">
        <v>66</v>
      </c>
      <c r="D37" s="28" t="s">
        <v>2203</v>
      </c>
      <c r="E37" s="167" t="s">
        <v>1294</v>
      </c>
      <c r="F37" s="168" t="s">
        <v>1396</v>
      </c>
      <c r="G37" s="25"/>
    </row>
    <row r="38" spans="1:7" ht="91.15">
      <c r="A38" s="299"/>
      <c r="B38" s="141">
        <v>3.02</v>
      </c>
      <c r="C38" s="142" t="s">
        <v>1326</v>
      </c>
      <c r="D38" s="28" t="s">
        <v>2204</v>
      </c>
      <c r="E38" s="167" t="s">
        <v>1341</v>
      </c>
      <c r="F38" s="168" t="s">
        <v>1397</v>
      </c>
      <c r="G38" s="25"/>
    </row>
    <row r="39" spans="1:7" ht="81">
      <c r="A39" s="299"/>
      <c r="B39" s="150">
        <v>4</v>
      </c>
      <c r="C39" s="149" t="s">
        <v>1492</v>
      </c>
      <c r="D39" s="28" t="s">
        <v>2205</v>
      </c>
      <c r="E39" s="27" t="s">
        <v>2151</v>
      </c>
      <c r="F39" s="27" t="s">
        <v>1493</v>
      </c>
      <c r="G39" s="25"/>
    </row>
    <row r="40" spans="1:7" ht="50.65">
      <c r="A40" s="299"/>
      <c r="B40" s="141">
        <v>4.01</v>
      </c>
      <c r="C40" s="149" t="s">
        <v>1492</v>
      </c>
      <c r="D40" s="28" t="s">
        <v>2207</v>
      </c>
      <c r="E40" s="27" t="s">
        <v>2163</v>
      </c>
      <c r="F40" s="27" t="s">
        <v>2167</v>
      </c>
      <c r="G40" s="25"/>
    </row>
    <row r="41" spans="1:7" ht="50.65">
      <c r="A41" s="299"/>
      <c r="B41" s="141" t="s">
        <v>2194</v>
      </c>
      <c r="C41" s="149" t="s">
        <v>1492</v>
      </c>
      <c r="D41" s="28" t="s">
        <v>2206</v>
      </c>
      <c r="E41" s="27" t="s">
        <v>2197</v>
      </c>
      <c r="F41" s="27" t="s">
        <v>2195</v>
      </c>
      <c r="G41" s="25"/>
    </row>
    <row r="42" spans="1:7" ht="50.65">
      <c r="A42" s="299"/>
      <c r="B42" s="141" t="s">
        <v>2228</v>
      </c>
      <c r="C42" s="149" t="s">
        <v>1492</v>
      </c>
      <c r="D42" s="28" t="s">
        <v>2233</v>
      </c>
      <c r="E42" s="27" t="s">
        <v>2196</v>
      </c>
      <c r="F42" s="27" t="s">
        <v>2229</v>
      </c>
      <c r="G42" s="25"/>
    </row>
    <row r="43" spans="1:7" ht="111.4">
      <c r="A43" s="299"/>
      <c r="B43" s="160">
        <v>4.0999999999999996</v>
      </c>
      <c r="C43" s="149" t="s">
        <v>2232</v>
      </c>
      <c r="D43" s="161">
        <v>42867</v>
      </c>
      <c r="E43" s="169" t="s">
        <v>2235</v>
      </c>
      <c r="F43" s="27" t="s">
        <v>2234</v>
      </c>
      <c r="G43" s="25"/>
    </row>
    <row r="44" spans="1:7" ht="70.900000000000006">
      <c r="A44" s="299"/>
      <c r="B44" s="160">
        <v>4.2</v>
      </c>
      <c r="C44" s="149" t="s">
        <v>2232</v>
      </c>
      <c r="D44" s="161">
        <v>42704</v>
      </c>
      <c r="E44" s="169" t="s">
        <v>2431</v>
      </c>
      <c r="F44" s="27" t="s">
        <v>2406</v>
      </c>
      <c r="G44" s="25"/>
    </row>
    <row r="45" spans="1:7" ht="131.65">
      <c r="A45" s="299"/>
      <c r="B45" s="202">
        <v>5</v>
      </c>
      <c r="C45" s="149" t="s">
        <v>2232</v>
      </c>
      <c r="D45" s="161">
        <v>42867</v>
      </c>
      <c r="E45" s="169" t="s">
        <v>12652</v>
      </c>
      <c r="F45" s="27" t="s">
        <v>12374</v>
      </c>
      <c r="G45" s="25"/>
    </row>
    <row r="46" spans="1:7" ht="30.4">
      <c r="A46" s="299"/>
      <c r="B46" s="160">
        <v>5.01</v>
      </c>
      <c r="C46" s="149" t="s">
        <v>2232</v>
      </c>
      <c r="D46" s="161">
        <v>42907</v>
      </c>
      <c r="E46" s="169" t="s">
        <v>15329</v>
      </c>
      <c r="F46" s="27" t="s">
        <v>12374</v>
      </c>
      <c r="G46" s="25"/>
    </row>
    <row r="47" spans="1:7" ht="60.75">
      <c r="A47" s="299"/>
      <c r="B47" s="160">
        <v>5.0999999999999996</v>
      </c>
      <c r="C47" s="149" t="s">
        <v>2232</v>
      </c>
      <c r="D47" s="161">
        <v>43070</v>
      </c>
      <c r="E47" s="169" t="s">
        <v>12862</v>
      </c>
      <c r="F47" s="27" t="s">
        <v>12863</v>
      </c>
      <c r="G47" s="25"/>
    </row>
    <row r="48" spans="1:7" ht="50.65">
      <c r="A48" s="299"/>
      <c r="B48" s="160">
        <v>5.1100000000000003</v>
      </c>
      <c r="C48" s="149" t="s">
        <v>13097</v>
      </c>
      <c r="D48" s="161">
        <v>43217</v>
      </c>
      <c r="E48" s="169" t="s">
        <v>13199</v>
      </c>
      <c r="F48" s="27" t="s">
        <v>13124</v>
      </c>
      <c r="G48" s="25"/>
    </row>
    <row r="49" spans="1:7" ht="50.65">
      <c r="A49" s="299"/>
      <c r="B49" s="160">
        <v>5.12</v>
      </c>
      <c r="C49" s="149" t="s">
        <v>13097</v>
      </c>
      <c r="D49" s="161">
        <v>43581</v>
      </c>
      <c r="E49" s="169" t="s">
        <v>13199</v>
      </c>
      <c r="F49" s="27" t="s">
        <v>13741</v>
      </c>
      <c r="G49" s="25"/>
    </row>
    <row r="50" spans="1:7" ht="70.900000000000006">
      <c r="A50" s="299"/>
      <c r="B50" s="202">
        <v>6</v>
      </c>
      <c r="C50" s="149" t="s">
        <v>13097</v>
      </c>
      <c r="D50" s="161">
        <v>43964</v>
      </c>
      <c r="E50" s="169" t="s">
        <v>13953</v>
      </c>
      <c r="F50" s="27" t="s">
        <v>13744</v>
      </c>
      <c r="G50" s="25"/>
    </row>
    <row r="51" spans="1:7" ht="40.5">
      <c r="A51" s="299"/>
      <c r="B51" s="160">
        <v>6.01</v>
      </c>
      <c r="C51" s="149" t="s">
        <v>13097</v>
      </c>
      <c r="D51" s="161">
        <v>43970</v>
      </c>
      <c r="E51" s="169" t="s">
        <v>15330</v>
      </c>
      <c r="F51" s="169" t="s">
        <v>13744</v>
      </c>
      <c r="G51" s="25"/>
    </row>
    <row r="52" spans="1:7" ht="40.5">
      <c r="A52" s="299"/>
      <c r="B52" s="160">
        <v>6.1</v>
      </c>
      <c r="C52" s="149" t="s">
        <v>13097</v>
      </c>
      <c r="D52" s="161">
        <v>44314</v>
      </c>
      <c r="E52" s="169" t="s">
        <v>15323</v>
      </c>
      <c r="F52" s="169" t="s">
        <v>14913</v>
      </c>
      <c r="G52" s="25"/>
    </row>
    <row r="53" spans="1:7" ht="40.5">
      <c r="A53" s="299"/>
      <c r="B53" s="160">
        <v>6.2</v>
      </c>
      <c r="C53" s="149" t="s">
        <v>13097</v>
      </c>
      <c r="D53" s="161">
        <v>44678</v>
      </c>
      <c r="E53" s="169" t="s">
        <v>15323</v>
      </c>
      <c r="F53" s="169" t="s">
        <v>15322</v>
      </c>
      <c r="G53" s="25"/>
    </row>
    <row r="54" spans="1:7" ht="40.5">
      <c r="A54" s="299"/>
      <c r="B54" s="160">
        <v>6.21</v>
      </c>
      <c r="C54" s="149" t="s">
        <v>13097</v>
      </c>
      <c r="D54" s="161">
        <v>44687</v>
      </c>
      <c r="E54" s="169" t="s">
        <v>15331</v>
      </c>
      <c r="F54" s="169" t="s">
        <v>15322</v>
      </c>
      <c r="G54" s="25"/>
    </row>
    <row r="55" spans="1:7" ht="40.5">
      <c r="A55" s="299"/>
      <c r="B55" s="160">
        <v>6.22</v>
      </c>
      <c r="C55" s="149" t="s">
        <v>13097</v>
      </c>
      <c r="D55" s="275">
        <v>44692</v>
      </c>
      <c r="E55" s="169" t="s">
        <v>15330</v>
      </c>
      <c r="F55" s="169" t="s">
        <v>15322</v>
      </c>
      <c r="G55" s="25"/>
    </row>
    <row r="56" spans="1:7" ht="50.65">
      <c r="A56" s="299"/>
      <c r="B56" s="202">
        <v>6.3</v>
      </c>
      <c r="C56" s="149" t="s">
        <v>13097</v>
      </c>
      <c r="D56" s="275">
        <v>45051</v>
      </c>
      <c r="E56" s="169" t="s">
        <v>15590</v>
      </c>
      <c r="F56" s="169" t="s">
        <v>15371</v>
      </c>
      <c r="G56" s="25"/>
    </row>
    <row r="57" spans="1:7" ht="40.5">
      <c r="A57" s="299"/>
      <c r="B57" s="160">
        <v>6.31</v>
      </c>
      <c r="C57" s="149" t="s">
        <v>13097</v>
      </c>
      <c r="D57" s="275">
        <v>45072</v>
      </c>
      <c r="E57" s="169" t="s">
        <v>15592</v>
      </c>
      <c r="F57" s="169" t="s">
        <v>15371</v>
      </c>
      <c r="G57" s="25"/>
    </row>
    <row r="58" spans="1:7" ht="40.5" customHeight="1">
      <c r="A58" s="299"/>
      <c r="B58" s="202">
        <v>6.4</v>
      </c>
      <c r="C58" s="149" t="s">
        <v>13097</v>
      </c>
      <c r="D58" s="275">
        <v>45408</v>
      </c>
      <c r="E58" s="169" t="s">
        <v>15594</v>
      </c>
      <c r="F58" s="169" t="s">
        <v>15593</v>
      </c>
      <c r="G58" s="25"/>
    </row>
    <row r="59" spans="1:7" ht="32.549999999999997" customHeight="1">
      <c r="A59" s="299"/>
      <c r="B59" s="202">
        <v>6.5</v>
      </c>
      <c r="C59" s="149" t="s">
        <v>13097</v>
      </c>
      <c r="D59" s="275">
        <v>45772</v>
      </c>
      <c r="E59" s="169" t="s">
        <v>15669</v>
      </c>
      <c r="F59" s="169" t="s">
        <v>15720</v>
      </c>
      <c r="G59" s="25"/>
    </row>
    <row r="60" spans="1:7" ht="12.75" thickBot="1">
      <c r="A60" s="300"/>
      <c r="B60" s="301" t="str">
        <f ca="1">OFFSET(L!$C$1,MATCH("General"&amp;"Cpy",L!$A:$A,0)-1,SL,,)</f>
        <v>© 2025 Responsible Minerals Initiative. All rights reserved.</v>
      </c>
      <c r="C60" s="301"/>
      <c r="D60" s="301"/>
      <c r="E60" s="301"/>
      <c r="F60" s="301"/>
      <c r="G60" s="26"/>
    </row>
    <row r="61" spans="1:7" ht="12.7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203125" defaultRowHeight="12.4"/>
  <cols>
    <col min="1" max="1" width="20.52734375" style="65" customWidth="1"/>
    <col min="2" max="2" width="57.17578125" style="65" customWidth="1"/>
    <col min="3" max="16384" width="8.82031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95E2F23-E3A6-4F2C-8118-5EE5C369811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203125" defaultRowHeight="12.4"/>
  <cols>
    <col min="1" max="1" width="11.17578125" customWidth="1"/>
    <col min="2" max="2" width="25.703125" customWidth="1"/>
    <col min="3" max="3" width="11.878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BDCC89C-614B-4749-AB02-23B02C10AAC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election activeCell="F3" sqref="F3"/>
    </sheetView>
  </sheetViews>
  <sheetFormatPr baseColWidth="10" defaultColWidth="8.8203125" defaultRowHeight="12.4"/>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429</v>
      </c>
    </row>
    <row r="2" spans="1:2" ht="29.25">
      <c r="A2" s="105" t="str">
        <f ca="1">OFFSET(L!$C$1,MATCH("Instructions"&amp;ADDRESS(ROW(),COLUMN(),4),L!$A:$A,0)-1,SL,,)</f>
        <v>Einführung</v>
      </c>
      <c r="B2" s="100" t="s">
        <v>1270</v>
      </c>
    </row>
    <row r="3" spans="1:2" ht="160.9">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1271</v>
      </c>
    </row>
    <row r="4" spans="1:2" ht="222.75"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1277</v>
      </c>
    </row>
    <row r="5" spans="1:2" ht="14.65">
      <c r="A5" s="106"/>
      <c r="B5" s="100"/>
    </row>
    <row r="6" spans="1:2" ht="29.25">
      <c r="A6" s="105" t="str">
        <f ca="1">OFFSET(L!$C$1,MATCH("Instructions"&amp;ADDRESS(ROW(),COLUMN(),4),L!$A:$A,0)-1,SL,,)</f>
        <v>Anleitung zum Ausfüllen von Informationen zu Unternehmen (Zeilen 8 - 22).  Die Kommentare nur in englischer Sprache.</v>
      </c>
      <c r="B6" s="100" t="s">
        <v>1270</v>
      </c>
    </row>
    <row r="7" spans="1:2" ht="14.65">
      <c r="A7" s="237" t="str">
        <f ca="1">OFFSET(L!$C$1,MATCH("Instructions"&amp;ADDRESS(ROW(),COLUMN(),4),L!$A:$A,0)-1,SL,,)</f>
        <v>Hinweis: Eingaben mit (*) sind Pflichtfelder</v>
      </c>
      <c r="B7" s="100"/>
    </row>
    <row r="8" spans="1:2" ht="29.25">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75"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1269</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29.25">
      <c r="A12" s="102" t="str">
        <f ca="1">OFFSET(L!$C$1,MATCH("Instructions"&amp;ADDRESS(ROW(),COLUMN(),4),L!$A:$A,0)-1,SL,,)</f>
        <v>5. Geben Sie Ihre vollständige Firmenanschrift an (Straße, Stadt, Postleitzahl,  Bundesland).  Dieses Feld ist optional.</v>
      </c>
      <c r="B12" s="100" t="s">
        <v>1270</v>
      </c>
    </row>
    <row r="13" spans="1:2" ht="33.75" customHeight="1">
      <c r="A13" s="102" t="str">
        <f ca="1">OFFSET(L!$C$1,MATCH("Instructions"&amp;ADDRESS(ROW(),COLUMN(),4),L!$A:$A,0)-1,SL,,)</f>
        <v>6. Geben Sie den Namen der Kontaktperson zum Inhalt der Erklärung an. Dies ist ein obligatorisches Feld.</v>
      </c>
      <c r="B13" s="100"/>
    </row>
    <row r="14" spans="1:2" ht="29.2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3.9">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4.65">
      <c r="A17" s="102" t="str">
        <f ca="1">OFFSET(L!$C$1,MATCH("Instructions"&amp;ADDRESS(ROW(),COLUMN(),4),L!$A:$A,0)-1,SL,,)</f>
        <v>10. Geben Sie den Titel für den Namen des Bevollmächtigten an. Dieses Feld ist optional.</v>
      </c>
      <c r="B17" s="100"/>
    </row>
    <row r="18" spans="1:2" ht="43.9">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4.6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29.25">
      <c r="A21" s="102" t="str">
        <f ca="1">OFFSET(L!$C$1,MATCH("Instructions"&amp;ADDRESS(ROW(),COLUMN(),4),L!$A:$A,0)-1,SL,,)</f>
        <v>14. Zum Beispiel kann der Benutzer die Datei unter dem Namen speichern: companyname-datum.xls (Datum im Format JJJJ-MM-TT).</v>
      </c>
      <c r="B21" s="100" t="s">
        <v>1270</v>
      </c>
    </row>
    <row r="22" spans="1:2" ht="14.65">
      <c r="A22" s="106"/>
      <c r="B22" s="100"/>
    </row>
    <row r="23" spans="1:2" ht="29.25">
      <c r="A23" s="105" t="str">
        <f ca="1">OFFSET(L!$C$1,MATCH("Instructions"&amp;ADDRESS(ROW(),COLUMN(),4),L!$A:$A,0)-1,SL,,)</f>
        <v>Anweisungen zum Ausfüllen der acht Fragen zur Sorgfaltsprüfung (Zeilen 24 - 71).
Bitte geben Sie Ihre Antworten nur auf ENGLISCH</v>
      </c>
      <c r="B23" s="100" t="s">
        <v>1270</v>
      </c>
    </row>
    <row r="24" spans="1:2" ht="80.5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1273</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1270</v>
      </c>
    </row>
    <row r="26" spans="1:2" ht="280.8"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1270</v>
      </c>
    </row>
    <row r="27" spans="1:2" ht="29.25">
      <c r="A27" s="102" t="str">
        <f ca="1">OFFSET(L!$C$1,MATCH("Instructions"&amp;ADDRESS(ROW(),COLUMN(),4),L!$A:$A,0)-1,SL,,)</f>
        <v>Manche Unternehmen benötigen eine Begründung für eine "Nein" -Antwort im Kommentarfeld</v>
      </c>
      <c r="B27" s="100" t="s">
        <v>1270</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2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1270</v>
      </c>
    </row>
    <row r="30" spans="1:2" ht="181.8"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31.65">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1270</v>
      </c>
    </row>
    <row r="32" spans="1:2" ht="234.75"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1273</v>
      </c>
    </row>
    <row r="33" spans="1:2" ht="58.5">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58.5">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1270</v>
      </c>
    </row>
    <row r="35" spans="1:2" ht="21" customHeight="1">
      <c r="A35" s="102" t="str">
        <f ca="1">OFFSET(L!$C$1,MATCH("Instructions"&amp;ADDRESS(ROW(),COLUMN(),4),L!$A:$A,0)-1,SL,,)</f>
        <v>Geben Sie, falls notwendig, Anmerkungen im Kommentarbereich ein, die für eine Klarstellung ihrer Antwort hilfreich sind.</v>
      </c>
      <c r="B35" s="100"/>
    </row>
    <row r="36" spans="1:2" ht="14.65">
      <c r="A36" s="106"/>
      <c r="B36" s="100"/>
    </row>
    <row r="37" spans="1:2" ht="43.9">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1270</v>
      </c>
    </row>
    <row r="38" spans="1:2" ht="131.6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1272</v>
      </c>
    </row>
    <row r="39" spans="1:2" ht="58.5">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5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3.150000000000006">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1275</v>
      </c>
    </row>
    <row r="42" spans="1:2" ht="190.15">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1273</v>
      </c>
    </row>
    <row r="43" spans="1:2" ht="146.2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1274</v>
      </c>
    </row>
    <row r="44" spans="1:2" ht="131.6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1270</v>
      </c>
    </row>
    <row r="45" spans="1:2" ht="117">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1271</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1270</v>
      </c>
    </row>
    <row r="47" spans="1:2" ht="14.65">
      <c r="A47" s="106"/>
      <c r="B47" s="100"/>
    </row>
    <row r="48" spans="1:2" ht="29.25">
      <c r="A48" s="105" t="str">
        <f ca="1">OFFSET(L!$C$1,MATCH("Instructions"&amp;ADDRESS(ROW(),COLUMN(),4),L!$A:$A,0)-1,SL,,)</f>
        <v>Anleitung zum Ausfüllen des Reiters "Smelter List". Bitte machen Sie ihre Angaben nur in englischer Sprache.</v>
      </c>
      <c r="B48" s="100" t="s">
        <v>1270</v>
      </c>
    </row>
    <row r="49" spans="1:2" ht="22.5" customHeight="1">
      <c r="A49" s="237" t="str">
        <f ca="1">OFFSET(L!$C$1,MATCH("Instructions"&amp;ADDRESS(ROW(),COLUMN(),4),L!$A:$A,0)-1,SL,,)</f>
        <v>Hinweis: Spalten mit (*) sind Pflichtfelder</v>
      </c>
      <c r="B49" s="100"/>
    </row>
    <row r="50" spans="1:2" ht="58.5">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1269</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1270</v>
      </c>
    </row>
    <row r="52" spans="1:2" ht="44.5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0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1270</v>
      </c>
    </row>
    <row r="54" spans="1:2" ht="58.5">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1269</v>
      </c>
    </row>
    <row r="55" spans="1:2" ht="73.150000000000006">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1275</v>
      </c>
    </row>
    <row r="56" spans="1:2" ht="58.5">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1269</v>
      </c>
    </row>
    <row r="57" spans="1:2" ht="58.5">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1269</v>
      </c>
    </row>
    <row r="58" spans="1:2" ht="58.5">
      <c r="A58" s="102" t="str">
        <f ca="1">OFFSET(L!$C$1,MATCH("Instructions"&amp;ADDRESS(ROW(),COLUMN(),4),L!$A:$A,0)-1,SL,,)</f>
        <v>8. Straße der Schmelzhütte – Geben Sie den Straßennamen des Schmelzhüttenstandortes an. Das Ausfüllen dieses Feldes ist freiwillig.</v>
      </c>
      <c r="B58" s="100" t="s">
        <v>1269</v>
      </c>
    </row>
    <row r="59" spans="1:2" ht="29.25">
      <c r="A59" s="102" t="str">
        <f ca="1">OFFSET(L!$C$1,MATCH("Instructions"&amp;ADDRESS(ROW(),COLUMN(),4),L!$A:$A,0)-1,SL,,)</f>
        <v>9. Ort der Schmelzhütte – Geben Sie den Namen des Ortes an, in dem sich die Schmelzhütte befindet. Das Ausfüllen dieses Feldes ist freiwillig.</v>
      </c>
      <c r="B59" s="100" t="s">
        <v>1270</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1273</v>
      </c>
    </row>
    <row r="61" spans="1:2" ht="190.1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1273</v>
      </c>
    </row>
    <row r="62" spans="1:2" ht="58.5">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1269</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1269</v>
      </c>
    </row>
    <row r="64" spans="1:2" ht="136.2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87.75">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4.65">
      <c r="A67" s="107"/>
      <c r="B67" s="100"/>
    </row>
    <row r="68" spans="1:2" ht="34.5" customHeight="1">
      <c r="A68" s="105" t="str">
        <f ca="1">OFFSET(L!$C$1,MATCH("Instructions"&amp;ADDRESS(ROW(),COLUMN(),4),L!$A:$A,0)-1,SL,,)</f>
        <v>Allgemeine Geschäftsbedingungen (AGB)</v>
      </c>
      <c r="B68" s="100"/>
    </row>
    <row r="69" spans="1:2" ht="14.65">
      <c r="A69" s="107"/>
      <c r="B69" s="100"/>
    </row>
    <row r="70" spans="1:2" ht="80.5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1270</v>
      </c>
    </row>
    <row r="71" spans="1:2" ht="93.75"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1276</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1274</v>
      </c>
    </row>
    <row r="73" spans="1:2" ht="73.150000000000006">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1275</v>
      </c>
    </row>
    <row r="74" spans="1:2" ht="29.25">
      <c r="A74" s="102"/>
      <c r="B74" s="100" t="s">
        <v>428</v>
      </c>
    </row>
    <row r="75" spans="1:2" ht="14.65">
      <c r="A75" s="102" t="str">
        <f ca="1">OFFSET(L!$C$1,MATCH("General"&amp;"Cpy",L!$A:$A,0)-1,SL,,)</f>
        <v>© 2025 Responsible Minerals Initiative. All rights reserved.</v>
      </c>
      <c r="B75" s="101"/>
    </row>
    <row r="76" spans="1:2" ht="14.65">
      <c r="A76" s="103" t="s">
        <v>1004</v>
      </c>
      <c r="B76" s="101"/>
    </row>
    <row r="77" spans="1:2" ht="1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203125" defaultRowHeight="12.4"/>
  <cols>
    <col min="1" max="1" width="1.52734375" customWidth="1"/>
    <col min="2" max="2" width="35.52734375" customWidth="1"/>
    <col min="3" max="3" width="105.52734375" customWidth="1"/>
    <col min="4" max="5" width="1.52734375" customWidth="1"/>
    <col min="6" max="6" width="4.52734375" customWidth="1"/>
    <col min="7" max="7" width="4.8203125" customWidth="1"/>
  </cols>
  <sheetData>
    <row r="1" spans="1:5" ht="12.7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Zinn, Tantal, Wolfram, Gold</v>
      </c>
      <c r="D3" s="321"/>
      <c r="E3" s="100" t="s">
        <v>1278</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73.150000000000006">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2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1279</v>
      </c>
    </row>
    <row r="7" spans="1:5" ht="105.75"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1279</v>
      </c>
    </row>
    <row r="8" spans="1:5" ht="131.6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1282</v>
      </c>
    </row>
    <row r="9" spans="1:5" ht="58.5">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1279</v>
      </c>
    </row>
    <row r="10" spans="1:5" ht="43.9">
      <c r="A10" s="74"/>
      <c r="B10" s="63" t="str">
        <f ca="1">OFFSET(L!$C$1,MATCH("Definitions"&amp;ADDRESS(ROW(),COLUMN(),4),L!$A:$A,0)-1,SL,,)</f>
        <v>DRK</v>
      </c>
      <c r="C10" s="63" t="str">
        <f ca="1">OFFSET(L!$C$1,MATCH("Definitions"&amp;ADDRESS(ROW(),COLUMN(),4),L!$A:$A,0)-1,SL,,)</f>
        <v>Demokratische Republik Kongo</v>
      </c>
      <c r="D10" s="321"/>
      <c r="E10" s="100" t="s">
        <v>1278</v>
      </c>
    </row>
    <row r="11" spans="1:5" ht="58.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1278</v>
      </c>
    </row>
    <row r="12" spans="1:5" ht="73.150000000000006">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1"/>
      <c r="E12" s="100" t="s">
        <v>1278</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1280</v>
      </c>
    </row>
    <row r="14" spans="1:5" ht="307.14999999999998">
      <c r="A14" s="74"/>
      <c r="B14" s="63" t="str">
        <f ca="1">OFFSET(L!$C$1,MATCH("Definitions"&amp;ADDRESS(ROW(),COLUMN(),4),L!$A:$A,0)-1,SL,,)</f>
        <v>Absichtlich hinzugefügt</v>
      </c>
      <c r="C14" s="63"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1278</v>
      </c>
    </row>
    <row r="15" spans="1:5" ht="131.65">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1278</v>
      </c>
    </row>
    <row r="16" spans="1:5" ht="73.150000000000006">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1278</v>
      </c>
    </row>
    <row r="17" spans="1:5" ht="248.6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1278</v>
      </c>
    </row>
    <row r="18" spans="1:5" ht="146.2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1278</v>
      </c>
    </row>
    <row r="19" spans="1:5" ht="14.6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3.9">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4.6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58.5">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75"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1"/>
      <c r="E25" s="100" t="s">
        <v>1278</v>
      </c>
    </row>
    <row r="26" spans="1:5" ht="73.150000000000006">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87.75">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1278</v>
      </c>
    </row>
    <row r="28" spans="1:5" ht="58.5">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1279</v>
      </c>
    </row>
    <row r="29" spans="1:5" ht="102.4">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1"/>
      <c r="E29" s="100" t="s">
        <v>1280</v>
      </c>
    </row>
    <row r="30" spans="1:5" ht="13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1"/>
      <c r="E30" s="100" t="s">
        <v>1281</v>
      </c>
    </row>
    <row r="31" spans="1:5" ht="133.05000000000001"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1"/>
      <c r="E31" s="100"/>
    </row>
    <row r="32" spans="1:5" ht="14.65">
      <c r="A32" s="74"/>
      <c r="B32" s="320" t="str">
        <f ca="1">OFFSET(L!$C$1,MATCH("General"&amp;"Cpy",L!$A:$A,0)-1,SL,,)</f>
        <v>© 2025 Responsible Minerals Initiative. All rights reserved.</v>
      </c>
      <c r="C32" s="320"/>
      <c r="D32" s="321"/>
      <c r="E32" s="100"/>
    </row>
    <row r="33" spans="1:4" ht="12.75" thickBot="1">
      <c r="A33" s="75"/>
      <c r="B33" s="153"/>
      <c r="C33" s="153"/>
      <c r="D33" s="322"/>
    </row>
    <row r="34" spans="1:4" ht="12.7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9" zoomScale="85" zoomScaleNormal="85" zoomScalePageLayoutView="70" workbookViewId="0">
      <selection activeCell="AC84" sqref="AC84"/>
    </sheetView>
  </sheetViews>
  <sheetFormatPr baseColWidth="10" defaultColWidth="8.8203125" defaultRowHeight="12.4"/>
  <cols>
    <col min="1" max="1" width="1.8203125" customWidth="1"/>
    <col min="2" max="2" width="83.17578125" customWidth="1"/>
    <col min="3" max="3" width="1.52734375" customWidth="1"/>
    <col min="4" max="5" width="16.52734375" customWidth="1"/>
    <col min="6" max="6" width="1.52734375" customWidth="1"/>
    <col min="7" max="9" width="16.52734375" customWidth="1"/>
    <col min="10" max="10" width="17.8203125" customWidth="1"/>
    <col min="11" max="11" width="1.52734375" customWidth="1"/>
    <col min="12" max="12" width="3.52734375" hidden="1" customWidth="1"/>
    <col min="13" max="15" width="4.8203125" hidden="1" customWidth="1"/>
    <col min="16" max="24" width="9.17578125" hidden="1" customWidth="1"/>
    <col min="25" max="25" width="8.8203125" hidden="1" customWidth="1"/>
  </cols>
  <sheetData>
    <row r="1" spans="1:34" ht="1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521</v>
      </c>
      <c r="E3" s="3"/>
      <c r="F3" s="370"/>
      <c r="G3" s="370"/>
      <c r="H3" s="370"/>
      <c r="I3" s="152"/>
      <c r="J3" s="138" t="s">
        <v>15733</v>
      </c>
      <c r="K3" s="36"/>
      <c r="L3" s="100"/>
      <c r="P3" s="45">
        <f>MATCH($D$3,LN,0)</f>
        <v>7</v>
      </c>
    </row>
    <row r="4" spans="1:34" ht="15">
      <c r="A4" s="34"/>
      <c r="B4" s="366" t="str">
        <f ca="1">OFFSET(L!$C$1,MATCH("Declaration"&amp;ADDRESS(ROW(),COLUMN(),4),L!$A:$A,0)-1,SL,,)</f>
        <v>Der Zweck dieses Dokuments ist die Erfassung von Beschaffungsinformationen für Zinn, Tantal, Wolfram und Gold, welche in Produkten genutzt werden.</v>
      </c>
      <c r="C4" s="366"/>
      <c r="D4" s="366"/>
      <c r="E4" s="366"/>
      <c r="F4" s="366"/>
      <c r="G4" s="366"/>
      <c r="H4" s="366"/>
      <c r="I4" s="371" t="str">
        <f ca="1">OFFSET(L!$C$1,MATCH("Declaration"&amp;ADDRESS(ROW(),COLUMN(),4),L!$A:$A,0)-1,SL,,)</f>
        <v>Link zu den Bedingungen</v>
      </c>
      <c r="J4" s="371"/>
      <c r="K4" s="36"/>
      <c r="L4" s="115"/>
      <c r="P4" s="3"/>
      <c r="Q4" s="3"/>
      <c r="R4" s="3"/>
      <c r="S4" s="3"/>
      <c r="T4" s="3"/>
      <c r="U4" s="3"/>
      <c r="V4" s="3"/>
      <c r="W4" s="3"/>
      <c r="X4" s="3"/>
      <c r="Y4" s="3"/>
      <c r="Z4" s="3"/>
      <c r="AA4" s="3"/>
      <c r="AB4" s="3"/>
      <c r="AC4" s="3"/>
      <c r="AD4" s="3"/>
      <c r="AE4" s="3"/>
      <c r="AF4" s="3"/>
      <c r="AG4" s="3"/>
      <c r="AH4" s="3"/>
    </row>
    <row r="5" spans="1:34" ht="14.6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29.25">
      <c r="A6" s="34"/>
      <c r="B6" s="366" t="str">
        <f ca="1">OFFSET(L!$C$1,MATCH("Declaration"&amp;ADDRESS(ROW(),COLUMN(),4),L!$A:$A,0)-1,SL,,)</f>
        <v>Pflichtfelder sind mit einem Sternchen (*) gekennzeichnet.  Im Tab „Instruktionen“ finden Sie eine Anleitung zur Beantwortung aller Fragen.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Firmenangaben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Firmenname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Geltungsbereich der Erklärung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Beschreibung des Geltungsbereichs</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Eindeutige Unternehmenskennung:</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Zuständige Stelle im Unternehmen:</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Adresse:</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Name des Ansprechpartners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E-Mail-Adresse des Ansprechpartners (*):</v>
      </c>
      <c r="C16" s="77"/>
      <c r="D16" s="378" t="s">
        <v>15823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Telefonnummer des Ansprechpartners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9">
      <c r="A18" s="38"/>
      <c r="B18" s="40" t="str">
        <f ca="1">OFFSET(L!$C$1,MATCH("Declaration"&amp;ADDRESS(ROW(),COLUMN(),4),L!$A:$A,0)-1,SL,,)</f>
        <v>Bevollmächtigter (*):</v>
      </c>
      <c r="C18" s="77"/>
      <c r="D18" s="323" t="s">
        <v>15825</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9">
      <c r="A19" s="38"/>
      <c r="B19" s="40" t="str">
        <f ca="1">OFFSET(L!$C$1,MATCH("Declaration"&amp;ADDRESS(ROW(),COLUMN(),4),L!$A:$A,0)-1,SL,,)</f>
        <v>Titel des Bevollmächtigten:</v>
      </c>
      <c r="C19" s="77"/>
      <c r="D19" s="350" t="s">
        <v>15826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9">
      <c r="A20" s="38"/>
      <c r="B20" s="40" t="str">
        <f ca="1">OFFSET(L!$C$1,MATCH("Declaration"&amp;ADDRESS(ROW(),COLUMN(),4),L!$A:$A,0)-1,SL,,)</f>
        <v>E-Mail-Adresse des Bevollmächtigten (*):</v>
      </c>
      <c r="C20" s="77"/>
      <c r="D20" s="378" t="s">
        <v>15827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Telefonnummer des Bevollmächtigten:</v>
      </c>
      <c r="C21" s="133"/>
      <c r="D21" s="381" t="s">
        <v>15828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649999999999999">
      <c r="A22" s="38"/>
      <c r="B22" s="40" t="str">
        <f ca="1">OFFSET(L!$C$1,MATCH("Declaration"&amp;ADDRESS(ROW(),COLUMN(),4),L!$A:$A,0)-1,SL,,)</f>
        <v>Datum (*):</v>
      </c>
      <c r="C22" s="78"/>
      <c r="D22" s="384">
        <v>45800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64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Beantworten Sie die Fragen 1 - 8 entsprechend dem oben angegebenen Geltungsbereich</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Wird absichtlich ein 3TG-Mineral im Herstellungsprozess verwendet oder in das/die Produkt(e) aufgenommen? (*)</v>
      </c>
      <c r="C25" s="17"/>
      <c r="D25" s="333" t="str">
        <f ca="1">OFFSET(L!$C$1,MATCH("Declaration"&amp;ADDRESS(ROW(),COLUMN(),4),L!$A:$A,0)-1,SL,,)</f>
        <v>Antwort</v>
      </c>
      <c r="E25" s="333"/>
      <c r="F25" s="18"/>
      <c r="G25" s="44" t="str">
        <f ca="1">OFFSET(L!$C$1,MATCH("Declaration"&amp;ADDRESS(ROW(),COLUMN(),4),L!$A:$A,0)-1,SL,,)</f>
        <v>Kommentare</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9">
      <c r="A26" s="41"/>
      <c r="B26" s="40" t="str">
        <f ca="1">OFFSET(L!$C$1,MATCH("Declaration"&amp;ADDRESS(ROW(),COLUMN(),4),L!$A:$A,0)-1,SL,,)&amp;P26</f>
        <v xml:space="preserve">Tantal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9">
      <c r="A27" s="41"/>
      <c r="B27" s="40" t="str">
        <f ca="1">OFFSET(L!$C$1,MATCH("Declaration"&amp;ADDRESS(ROW(),COLUMN(),4),L!$A:$A,0)-1,SL,,)&amp;P27</f>
        <v>Zinn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9">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9">
      <c r="A29" s="41"/>
      <c r="B29" s="40" t="str">
        <f ca="1">OFFSET(L!$C$1,MATCH("Declaration"&amp;ADDRESS(ROW(),COLUMN(),4),L!$A:$A,0)-1,SL,,)&amp;P29</f>
        <v xml:space="preserve">Wolfram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64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Liegen in dem/den Produkt(en) 3TG-Rückstände vor?  (*)</v>
      </c>
      <c r="C31" s="10"/>
      <c r="D31" s="335" t="str">
        <f ca="1">D25</f>
        <v>Antwort</v>
      </c>
      <c r="E31" s="335"/>
      <c r="F31" s="18"/>
      <c r="G31" s="44" t="str">
        <f ca="1">G25</f>
        <v>Kommentare</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9">
      <c r="A32" s="41"/>
      <c r="B32" s="40" t="str">
        <f ca="1">B26</f>
        <v xml:space="preserve">Tantal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9">
      <c r="A33" s="41"/>
      <c r="B33" s="40" t="str">
        <f ca="1">B27</f>
        <v>Zinn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9">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9">
      <c r="A35" s="41"/>
      <c r="B35" s="40" t="str">
        <f ca="1">B29</f>
        <v xml:space="preserve">Wolfram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64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Beschaffen Schmelzhütten in Ihrer Lieferkette das 3TG-Mineral aus den umfassten Ländern? (SEC-Begriff, siehe Definitions-Tab) (*)</v>
      </c>
      <c r="C37" s="10"/>
      <c r="D37" s="335" t="str">
        <f ca="1">D25</f>
        <v>Antwort</v>
      </c>
      <c r="E37" s="335"/>
      <c r="F37" s="18"/>
      <c r="G37" s="44" t="str">
        <f ca="1">G25</f>
        <v>Kommentare</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9">
      <c r="A38" s="41"/>
      <c r="B38" s="40" t="str">
        <f ca="1">OFFSET(L!$C$1,MATCH("Declaration"&amp;ADDRESS(ROW(),COLUMN(),4),L!$A:$A,0)-1,SL,,)&amp;P38</f>
        <v xml:space="preserve">Tantal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9">
      <c r="A39" s="41"/>
      <c r="B39" s="40" t="str">
        <f ca="1">OFFSET(L!$C$1,MATCH("Declaration"&amp;ADDRESS(ROW(),COLUMN(),4),L!$A:$A,0)-1,SL,,)&amp;P39</f>
        <v>Zinn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9">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9">
      <c r="A41" s="41"/>
      <c r="B41" s="40" t="str">
        <f ca="1">OFFSET(L!$C$1,MATCH("Declaration"&amp;ADDRESS(ROW(),COLUMN(),4),L!$A:$A,0)-1,SL,,)&amp;P41</f>
        <v xml:space="preserve">Wolfram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64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Beziehen Schmelzhütten in Ihrer Lieferkette ihre 3TG aus von Konflikten betroffenen und risikoreichen Gebieten? (*)</v>
      </c>
      <c r="C43" s="10"/>
      <c r="D43" s="335" t="str">
        <f ca="1">D25</f>
        <v>Antwort</v>
      </c>
      <c r="E43" s="335"/>
      <c r="F43" s="18"/>
      <c r="G43" s="44" t="str">
        <f ca="1">G25</f>
        <v>Kommentare</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 xml:space="preserve">Tantal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55.5" customHeight="1">
      <c r="A45" s="41"/>
      <c r="B45" s="40" t="str">
        <f ca="1">OFFSET(L!$C$1,MATCH("Declaration"&amp;ADDRESS(ROW(),COLUMN(),4),L!$A:$A,0)-1,SL,,)&amp;P45</f>
        <v>Zinn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107" customHeight="1">
      <c r="A46" s="41"/>
      <c r="B46" s="40" t="str">
        <f ca="1">OFFSET(L!$C$1,MATCH("Declaration"&amp;ADDRESS(ROW(),COLUMN(),4),L!$A:$A,0)-1,SL,,)&amp;P46</f>
        <v>Gold  (*)</v>
      </c>
      <c r="C46" s="10"/>
      <c r="D46" s="326" t="s">
        <v>475</v>
      </c>
      <c r="E46" s="327"/>
      <c r="F46" s="47"/>
      <c r="G46" s="328" t="s">
        <v>15837</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 xml:space="preserve">Wolfram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Stammt das für die Funktionalität oder  Herstellung Ihrer Produkte benötigte 3TG-Mineral zu 100 % aus Recycling- oder Schrottquellen?  (*)</v>
      </c>
      <c r="C49" s="10"/>
      <c r="D49" s="335" t="str">
        <f ca="1">D25</f>
        <v>Antwort</v>
      </c>
      <c r="E49" s="335"/>
      <c r="F49" s="18"/>
      <c r="G49" s="44" t="str">
        <f ca="1">G25</f>
        <v>Kommentare</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9">
      <c r="A50" s="41"/>
      <c r="B50" s="40" t="str">
        <f ca="1">B38</f>
        <v xml:space="preserve">Tantal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9">
      <c r="A51" s="41"/>
      <c r="B51" s="40" t="str">
        <f ca="1">B39</f>
        <v>Zinn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9">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9">
      <c r="A53" s="41"/>
      <c r="B53" s="40" t="str">
        <f ca="1">B41</f>
        <v xml:space="preserve">Wolfram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64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Wie hoch ist der Prozentsatz an Lieferanten, die auf Ihre Lieferkettenumfrage geantwortet haben? (*)</v>
      </c>
      <c r="C55" s="10"/>
      <c r="D55" s="335" t="str">
        <f ca="1">D25</f>
        <v>Antwort</v>
      </c>
      <c r="E55" s="335"/>
      <c r="F55" s="18"/>
      <c r="G55" s="44" t="str">
        <f ca="1">G25</f>
        <v>Kommentare</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9">
      <c r="A56" s="41"/>
      <c r="B56" s="40" t="str">
        <f ca="1">B38</f>
        <v xml:space="preserve">Tantal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9">
      <c r="A57" s="41"/>
      <c r="B57" s="40" t="str">
        <f ca="1">B39</f>
        <v>Zinn  (*)</v>
      </c>
      <c r="C57" s="35"/>
      <c r="D57" s="347" t="s">
        <v>15829</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9">
      <c r="A58" s="41"/>
      <c r="B58" s="40" t="str">
        <f ca="1">B40</f>
        <v>Gold  (*)</v>
      </c>
      <c r="C58" s="35"/>
      <c r="D58" s="347" t="s">
        <v>15829</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9">
      <c r="A59" s="41"/>
      <c r="B59" s="40" t="str">
        <f ca="1">B41</f>
        <v xml:space="preserve">Wolfram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Haben Sie alle Schmelzhütten ermittelt, die das 3TG-Mineral für Ihre Lieferkette bereitstellen?  (*)</v>
      </c>
      <c r="C61" s="10"/>
      <c r="D61" s="335" t="str">
        <f ca="1">D25</f>
        <v>Antwort</v>
      </c>
      <c r="E61" s="335"/>
      <c r="F61" s="18"/>
      <c r="G61" s="44" t="str">
        <f ca="1">G25</f>
        <v>Kommentare</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9">
      <c r="A62" s="41"/>
      <c r="B62" s="40" t="str">
        <f ca="1">B38</f>
        <v xml:space="preserve">Tantal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9">
      <c r="A63" s="41"/>
      <c r="B63" s="40" t="str">
        <f ca="1">B39</f>
        <v>Zinn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9">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9">
      <c r="A65" s="41"/>
      <c r="B65" s="40" t="str">
        <f ca="1">B41</f>
        <v xml:space="preserve">Wolfram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Haben Sie alle relevanten Informationen, die Ihr Unternehmen zu den Schmelzhütten erhalten hat, in dieser Erklärung aufgeführt?  (*)</v>
      </c>
      <c r="C67" s="10"/>
      <c r="D67" s="335" t="str">
        <f ca="1">D25</f>
        <v>Antwort</v>
      </c>
      <c r="E67" s="335"/>
      <c r="F67" s="18"/>
      <c r="G67" s="44" t="str">
        <f ca="1">G25</f>
        <v>Kommentare</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9">
      <c r="A68" s="41"/>
      <c r="B68" s="40" t="str">
        <f ca="1">B38</f>
        <v xml:space="preserve">Tantal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9">
      <c r="A69" s="41"/>
      <c r="B69" s="40" t="str">
        <f ca="1">B39</f>
        <v>Zinn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9">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9">
      <c r="A71" s="38"/>
      <c r="B71" s="40" t="str">
        <f ca="1">B41</f>
        <v xml:space="preserve">Wolfram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4.6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4.65">
      <c r="A73" s="41"/>
      <c r="B73" s="331" t="str">
        <f ca="1">OFFSET(L!$C$1,MATCH("Declaration"&amp;ADDRESS(ROW(),COLUMN(),4),L!$A:$A,0)-1,SL,,)</f>
        <v>Beantworten Sie folgende Fragen auf Firmenebene</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Frage</v>
      </c>
      <c r="C74" s="81"/>
      <c r="D74" s="333" t="str">
        <f ca="1">D25</f>
        <v>Antwort</v>
      </c>
      <c r="E74" s="333"/>
      <c r="F74" s="53"/>
      <c r="G74" s="333" t="str">
        <f ca="1">G25</f>
        <v>Kommentare</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29.25">
      <c r="A75" s="41"/>
      <c r="B75" s="56" t="str">
        <f ca="1">OFFSET(L!$C$1,MATCH("Declaration"&amp;ADDRESS(ROW(),COLUMN(),4),L!$A:$A,0)-1,SL,,)&amp;$Q$37</f>
        <v>A. Haben Sie eine konfliktfreie Beschaffungsrichtlinie für Mineralien erstellt? (*)</v>
      </c>
      <c r="C75" s="57"/>
      <c r="D75" s="326" t="s">
        <v>475</v>
      </c>
      <c r="E75" s="327"/>
      <c r="F75" s="57"/>
      <c r="G75" s="328" t="s">
        <v>15831</v>
      </c>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475</v>
      </c>
      <c r="E77" s="327"/>
      <c r="F77" s="57"/>
      <c r="G77" s="354" t="s">
        <v>15843</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475</v>
      </c>
      <c r="E81" s="327"/>
      <c r="F81" s="57"/>
      <c r="G81" s="328" t="s">
        <v>15832</v>
      </c>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4.6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Sieht Ihr Review-Prozess ein Korrekturmaßnahmen-Management vor? (*)</v>
      </c>
      <c r="C87" s="57"/>
      <c r="D87" s="326" t="s">
        <v>475</v>
      </c>
      <c r="E87" s="327"/>
      <c r="F87" s="57"/>
      <c r="G87" s="328" t="s">
        <v>15832</v>
      </c>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29.25">
      <c r="A89" s="41"/>
      <c r="B89" s="56" t="str">
        <f ca="1">OFFSET(L!$C$1,MATCH("Declaration"&amp;ADDRESS(ROW(),COLUMN(),4),L!$A:$A,0)-1,SL,,)&amp;$Q$37</f>
        <v>H. Ist Ihr Unternehmen zu einer jährlichen Offenlegung der Konfliktmineralien verpflichtet?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4.6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DB61CEF-322D-4BA9-9028-46926250B6A4}"/>
    <hyperlink ref="D20" r:id="rId4" xr:uid="{1AE0FBAA-1B6D-47DB-ADA1-CA41DB7E05DB}"/>
    <hyperlink ref="G77" r:id="rId5" display="https://metalor.com/corporate-social-responsibility/dodd-frank-conflict-minerals/" xr:uid="{D3E01C0D-36D1-454E-945A-463F801466DB}"/>
    <hyperlink ref="G75" r:id="rId6" xr:uid="{227B9535-9FBB-435B-8493-275A0835DE35}"/>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H15" sqref="H15"/>
    </sheetView>
  </sheetViews>
  <sheetFormatPr baseColWidth="10" defaultColWidth="8.8203125" defaultRowHeight="12.4"/>
  <cols>
    <col min="1" max="1" width="13.52734375" style="227" customWidth="1"/>
    <col min="2" max="2" width="13.3515625" style="229" customWidth="1"/>
    <col min="3" max="3" width="40.52734375" style="229" customWidth="1"/>
    <col min="4" max="4" width="30.52734375" style="229" customWidth="1"/>
    <col min="5" max="5" width="20.8203125" style="229" customWidth="1"/>
    <col min="6" max="7" width="13.8203125" style="229" customWidth="1"/>
    <col min="8" max="8" width="25.17578125" style="229" customWidth="1"/>
    <col min="9" max="9" width="24.17578125" style="229" customWidth="1"/>
    <col min="10" max="10" width="18.3515625" style="229" customWidth="1"/>
    <col min="11" max="11" width="27.3515625" style="229" customWidth="1"/>
    <col min="12" max="12" width="20.52734375" style="229" customWidth="1"/>
    <col min="13" max="13" width="35.17578125" style="229" customWidth="1"/>
    <col min="14" max="14" width="42.17578125" style="229" customWidth="1"/>
    <col min="15" max="15" width="32.17578125" style="229" customWidth="1"/>
    <col min="16" max="16" width="22.8203125" style="229" customWidth="1"/>
    <col min="17" max="17" width="43.52734375" style="229" customWidth="1"/>
    <col min="18" max="18" width="35.8203125" style="229" hidden="1" customWidth="1"/>
    <col min="19" max="20" width="17.8203125" style="229" hidden="1" customWidth="1"/>
    <col min="21" max="21" width="8.8203125" style="229" hidden="1" customWidth="1"/>
    <col min="22" max="22" width="6.17578125" style="229" hidden="1" customWidth="1"/>
    <col min="23" max="23" width="8.52734375" style="229" hidden="1" customWidth="1"/>
    <col min="24" max="24" width="8.8203125" style="229" hidden="1" customWidth="1"/>
    <col min="25" max="27" width="4.3515625" style="229" hidden="1" customWidth="1"/>
    <col min="28" max="28" width="7.8203125" style="229" hidden="1" customWidth="1"/>
    <col min="29" max="33" width="4.3515625" style="229" hidden="1" customWidth="1"/>
    <col min="34" max="34" width="14.52734375" style="229" hidden="1" customWidth="1"/>
    <col min="35" max="39" width="8.8203125" style="229" customWidth="1"/>
    <col min="40" max="16384" width="8.82031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75">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12367</v>
      </c>
      <c r="S4" s="216" t="s">
        <v>12350</v>
      </c>
      <c r="T4" s="216" t="s">
        <v>12351</v>
      </c>
      <c r="U4" s="200"/>
      <c r="W4" s="159" t="s">
        <v>1290</v>
      </c>
      <c r="X4" s="159" t="s">
        <v>912</v>
      </c>
      <c r="AH4" s="145" t="s">
        <v>477</v>
      </c>
    </row>
    <row r="5" spans="1:34" s="227" customFormat="1" ht="20" customHeight="1">
      <c r="A5" s="262"/>
      <c r="B5" s="182" t="s">
        <v>1098</v>
      </c>
      <c r="C5" s="186" t="s">
        <v>15830</v>
      </c>
      <c r="D5" s="230"/>
      <c r="E5" s="182" t="str">
        <f ca="1">IF(ISERROR($V5),"",OFFSET('Smelter Look-up'!$D$4,$V5-4,0)&amp;"")</f>
        <v>SWITZERLAND</v>
      </c>
      <c r="F5" s="182" t="s">
        <v>688</v>
      </c>
      <c r="G5" s="182" t="str">
        <f ca="1">IF(C5=$X$4,IF(ISERROR($V5),"Enter smelter details","RMI"),IF(ISERROR($V5),"",OFFSET('Smelter Look-up'!$F$4,$V5-4,0)))</f>
        <v>RMI</v>
      </c>
      <c r="H5" s="183">
        <f ca="1">IF(ISERROR($V5),"",OFFSET('Smelter Look-up'!$G$4,$V5-4,0))</f>
        <v>0</v>
      </c>
      <c r="I5" s="184" t="str">
        <f ca="1">IF(ISERROR($V5),"",OFFSET('Smelter Look-up'!$H$4,$V5-4,0))</f>
        <v>Marin</v>
      </c>
      <c r="J5" s="184" t="str">
        <f ca="1">IF(ISERROR($V5),"",OFFSET('Smelter Look-up'!$I$4,$V5-4,0))</f>
        <v>Neuchâtel</v>
      </c>
      <c r="K5" s="224"/>
      <c r="L5" s="224"/>
      <c r="M5" s="224"/>
      <c r="N5" s="224"/>
      <c r="O5" s="224"/>
      <c r="P5" s="185"/>
      <c r="Q5" s="225" t="s">
        <v>15841</v>
      </c>
      <c r="R5" s="182" t="str">
        <f ca="1">IF(ISERROR($V5),"",OFFSET('Smelter Look-up'!$C$4,$V5-4,0)&amp;"")</f>
        <v>Metalor Technologies S.A.</v>
      </c>
      <c r="S5" s="181" t="str">
        <f ca="1">IF(B5="","",IF(ISERROR(MATCH($E5,CL,0)),"Unknown",INDIRECT("'C'!$A$"&amp;MATCH($E5,CL,0)+1)))</f>
        <v>CH</v>
      </c>
      <c r="T5" s="181" t="str">
        <f ca="1">IF(B5="","",IF(ISERROR(MATCH($J5,SorP!$B$1:$B$6226,0)),"",INDIRECT("'SorP'!$A$"&amp;MATCH($S5&amp;$J5,SorP!C:C,0))))</f>
        <v>CH-NE</v>
      </c>
      <c r="U5" s="201"/>
      <c r="V5" s="226">
        <f>IF(C5="",NA(),IF(OR(C5="Smelter not listed",C5="Smelter not yet identified"),MATCH($B5&amp;$D5,'Smelter Look-up'!$J:$J,0),MATCH($B5&amp;$C5,'Smelter Look-up'!$J:$J,0)))</f>
        <v>177</v>
      </c>
      <c r="X5" s="227">
        <f t="shared" ref="X5" ca="1" si="0">IF(AND(C5="Smelter not listed",OR(LEN(D5)=0,LEN(E5)=0)),1,0)</f>
        <v>0</v>
      </c>
      <c r="AB5" s="228" t="str">
        <f t="shared" ref="AB5" si="1">B5&amp;C5</f>
        <v>Goldmetalor switzerland</v>
      </c>
    </row>
    <row r="6" spans="1:34" s="227" customFormat="1" ht="20" customHeight="1">
      <c r="A6" s="262"/>
      <c r="B6" s="182" t="s">
        <v>1098</v>
      </c>
      <c r="C6" s="186" t="s">
        <v>2105</v>
      </c>
      <c r="D6" s="230"/>
      <c r="E6" s="182" t="str">
        <f ca="1">IF(ISERROR($V6),"",OFFSET('Smelter Look-up'!$D$4,$V6-4,0)&amp;"")</f>
        <v>CHINA</v>
      </c>
      <c r="F6" s="182" t="str">
        <f ca="1">IF(ISERROR($V6),"",OFFSET('Smelter Look-up'!$E$4,$V6-4,0))</f>
        <v>CID001149</v>
      </c>
      <c r="G6" s="182" t="str">
        <f ca="1">IF(C6=$X$4,IF(ISERROR($V6),"Enter smelter details","RMI"),IF(ISERROR($V6),"",OFFSET('Smelter Look-up'!$F$4,$V6-4,0)))</f>
        <v>RMI</v>
      </c>
      <c r="H6" s="183">
        <f ca="1">IF(ISERROR($V6),"",OFFSET('Smelter Look-up'!$G$4,$V6-4,0))</f>
        <v>0</v>
      </c>
      <c r="I6" s="184" t="str">
        <f ca="1">IF(ISERROR($V6),"",OFFSET('Smelter Look-up'!$H$4,$V6-4,0))</f>
        <v>Kwai Chung</v>
      </c>
      <c r="J6" s="184" t="str">
        <f ca="1">IF(ISERROR($V6),"",OFFSET('Smelter Look-up'!$I$4,$V6-4,0))</f>
        <v>Hong Kong SAR</v>
      </c>
      <c r="K6" s="224"/>
      <c r="L6" s="224"/>
      <c r="M6" s="224"/>
      <c r="N6" s="224"/>
      <c r="O6" s="224"/>
      <c r="P6" s="185"/>
      <c r="Q6" s="225" t="s">
        <v>15841</v>
      </c>
      <c r="R6" s="182" t="str">
        <f ca="1">IF(ISERROR($V6),"",OFFSET('Smelter Look-up'!$C$4,$V6-4,0)&amp;"")</f>
        <v>Metalor Technologies (Hong Kong) Ltd.</v>
      </c>
      <c r="S6" s="181" t="str">
        <f t="shared" ref="S6:S37" ca="1" si="2">IF(B6="","",IF(ISERROR(MATCH($E6,CL,0)),"Unknown",INDIRECT("'C'!$A$"&amp;MATCH($E6,CL,0)+1)))</f>
        <v>CN</v>
      </c>
      <c r="T6" s="181" t="str">
        <f ca="1">IF(B6="","",IF(ISERROR(MATCH($J6,SorP!$B$1:$B$6226,0)),"",INDIRECT("'SorP'!$A$"&amp;MATCH($S6&amp;$J6,SorP!C:C,0))))</f>
        <v>CN-HK</v>
      </c>
      <c r="U6" s="201"/>
      <c r="V6" s="226">
        <f>IF(C6="",NA(),IF(OR(C6="Smelter not listed",C6="Smelter not yet identified"),MATCH($B6&amp;$D6,'Smelter Look-up'!$J:$J,0),MATCH($B6&amp;$C6,'Smelter Look-up'!$J:$J,0)))</f>
        <v>178</v>
      </c>
      <c r="X6" s="227">
        <f t="shared" ref="X6:X37" ca="1" si="3">IF(AND(C6="Smelter not listed",OR(LEN(D6)=0,LEN(E6)=0)),1,0)</f>
        <v>0</v>
      </c>
      <c r="AB6" s="228" t="str">
        <f t="shared" ref="AB6:AB37" si="4">B6&amp;C6</f>
        <v>GoldMetalor Technologies (Hong Kong) Ltd.</v>
      </c>
    </row>
    <row r="7" spans="1:34" s="227" customFormat="1" ht="20" customHeight="1">
      <c r="A7" s="262"/>
      <c r="B7" s="182" t="s">
        <v>1098</v>
      </c>
      <c r="C7" s="186" t="s">
        <v>2106</v>
      </c>
      <c r="D7" s="230"/>
      <c r="E7" s="182" t="str">
        <f ca="1">IF(ISERROR($V7),"",OFFSET('Smelter Look-up'!$D$4,$V7-4,0)&amp;"")</f>
        <v>SINGAPORE</v>
      </c>
      <c r="F7" s="182" t="str">
        <f ca="1">IF(ISERROR($V7),"",OFFSET('Smelter Look-up'!$E$4,$V7-4,0))</f>
        <v>CID001152</v>
      </c>
      <c r="G7" s="182" t="str">
        <f ca="1">IF(C7=$X$4,IF(ISERROR($V7),"Enter smelter details","RMI"),IF(ISERROR($V7),"",OFFSET('Smelter Look-up'!$F$4,$V7-4,0)))</f>
        <v>RMI</v>
      </c>
      <c r="H7" s="183">
        <f ca="1">IF(ISERROR($V7),"",OFFSET('Smelter Look-up'!$G$4,$V7-4,0))</f>
        <v>0</v>
      </c>
      <c r="I7" s="184" t="str">
        <f ca="1">IF(ISERROR($V7),"",OFFSET('Smelter Look-up'!$H$4,$V7-4,0))</f>
        <v>Singapore</v>
      </c>
      <c r="J7" s="184" t="str">
        <f ca="1">IF(ISERROR($V7),"",OFFSET('Smelter Look-up'!$I$4,$V7-4,0))</f>
        <v>South West</v>
      </c>
      <c r="K7" s="224"/>
      <c r="L7" s="224"/>
      <c r="M7" s="224"/>
      <c r="N7" s="224"/>
      <c r="O7" s="224"/>
      <c r="P7" s="185"/>
      <c r="Q7" s="225" t="s">
        <v>15841</v>
      </c>
      <c r="R7" s="182" t="str">
        <f ca="1">IF(ISERROR($V7),"",OFFSET('Smelter Look-up'!$C$4,$V7-4,0)&amp;"")</f>
        <v>Metalor Technologies (Singapore) Pte., Ltd.</v>
      </c>
      <c r="S7" s="181" t="str">
        <f t="shared" ca="1" si="2"/>
        <v>SG</v>
      </c>
      <c r="T7" s="181" t="str">
        <f ca="1">IF(B7="","",IF(ISERROR(MATCH($J7,SorP!$B$1:$B$6226,0)),"",INDIRECT("'SorP'!$A$"&amp;MATCH($S7&amp;$J7,SorP!C:C,0))))</f>
        <v>SG-05</v>
      </c>
      <c r="U7" s="201"/>
      <c r="V7" s="226">
        <f>IF(C7="",NA(),IF(OR(C7="Smelter not listed",C7="Smelter not yet identified"),MATCH($B7&amp;$D7,'Smelter Look-up'!$J:$J,0),MATCH($B7&amp;$C7,'Smelter Look-up'!$J:$J,0)))</f>
        <v>179</v>
      </c>
      <c r="X7" s="227">
        <f t="shared" ca="1" si="3"/>
        <v>0</v>
      </c>
      <c r="AB7" s="228" t="str">
        <f t="shared" si="4"/>
        <v>GoldMetalor Technologies (Singapore) Pte., Ltd.</v>
      </c>
    </row>
    <row r="8" spans="1:34" s="227" customFormat="1" ht="20" customHeight="1">
      <c r="A8" s="262"/>
      <c r="B8" s="182" t="s">
        <v>1098</v>
      </c>
      <c r="C8" s="186" t="s">
        <v>1585</v>
      </c>
      <c r="D8" s="230"/>
      <c r="E8" s="182" t="str">
        <f ca="1">IF(ISERROR($V8),"",OFFSET('Smelter Look-up'!$D$4,$V8-4,0)&amp;"")</f>
        <v>CHINA</v>
      </c>
      <c r="F8" s="182" t="str">
        <f ca="1">IF(ISERROR($V8),"",OFFSET('Smelter Look-up'!$E$4,$V8-4,0))</f>
        <v>CID001147</v>
      </c>
      <c r="G8" s="182" t="str">
        <f ca="1">IF(C8=$X$4,IF(ISERROR($V8),"Enter smelter details","RMI"),IF(ISERROR($V8),"",OFFSET('Smelter Look-up'!$F$4,$V8-4,0)))</f>
        <v>RMI</v>
      </c>
      <c r="H8" s="183">
        <f ca="1">IF(ISERROR($V8),"",OFFSET('Smelter Look-up'!$G$4,$V8-4,0))</f>
        <v>0</v>
      </c>
      <c r="I8" s="184" t="str">
        <f ca="1">IF(ISERROR($V8),"",OFFSET('Smelter Look-up'!$H$4,$V8-4,0))</f>
        <v>Suzhou</v>
      </c>
      <c r="J8" s="184" t="str">
        <f ca="1">IF(ISERROR($V8),"",OFFSET('Smelter Look-up'!$I$4,$V8-4,0))</f>
        <v>Jiangsu Sheng</v>
      </c>
      <c r="K8" s="224"/>
      <c r="L8" s="224"/>
      <c r="M8" s="224"/>
      <c r="N8" s="224"/>
      <c r="O8" s="224"/>
      <c r="P8" s="185"/>
      <c r="Q8" s="225" t="s">
        <v>15841</v>
      </c>
      <c r="R8" s="182" t="str">
        <f ca="1">IF(ISERROR($V8),"",OFFSET('Smelter Look-up'!$C$4,$V8-4,0)&amp;"")</f>
        <v>Metalor Technologies (Suzhou) Ltd.</v>
      </c>
      <c r="S8" s="181" t="str">
        <f t="shared" ca="1" si="2"/>
        <v>CN</v>
      </c>
      <c r="T8" s="181" t="str">
        <f ca="1">IF(B8="","",IF(ISERROR(MATCH($J8,SorP!$B$1:$B$6226,0)),"",INDIRECT("'SorP'!$A$"&amp;MATCH($S8&amp;$J8,SorP!C:C,0))))</f>
        <v>CN-JS</v>
      </c>
      <c r="U8" s="201"/>
      <c r="V8" s="226">
        <f>IF(C8="",NA(),IF(OR(C8="Smelter not listed",C8="Smelter not yet identified"),MATCH($B8&amp;$D8,'Smelter Look-up'!$J:$J,0),MATCH($B8&amp;$C8,'Smelter Look-up'!$J:$J,0)))</f>
        <v>180</v>
      </c>
      <c r="X8" s="227">
        <f t="shared" ca="1" si="3"/>
        <v>0</v>
      </c>
      <c r="AB8" s="228" t="str">
        <f t="shared" si="4"/>
        <v>GoldMetalor Technologies (Suzhou) Ltd.</v>
      </c>
    </row>
    <row r="9" spans="1:34" s="227" customFormat="1" ht="20" customHeight="1">
      <c r="A9" s="262"/>
      <c r="B9" s="182" t="s">
        <v>1098</v>
      </c>
      <c r="C9" s="186" t="s">
        <v>2257</v>
      </c>
      <c r="D9" s="230"/>
      <c r="E9" s="182" t="str">
        <f ca="1">IF(ISERROR($V9),"",OFFSET('Smelter Look-up'!$D$4,$V9-4,0)&amp;"")</f>
        <v>SWITZERLAND</v>
      </c>
      <c r="F9" s="182" t="str">
        <f ca="1">IF(ISERROR($V9),"",OFFSET('Smelter Look-up'!$E$4,$V9-4,0))</f>
        <v>CID001153</v>
      </c>
      <c r="G9" s="182" t="str">
        <f ca="1">IF(C9=$X$4,IF(ISERROR($V9),"Enter smelter details","RMI"),IF(ISERROR($V9),"",OFFSET('Smelter Look-up'!$F$4,$V9-4,0)))</f>
        <v>RMI</v>
      </c>
      <c r="H9" s="183">
        <f ca="1">IF(ISERROR($V9),"",OFFSET('Smelter Look-up'!$G$4,$V9-4,0))</f>
        <v>0</v>
      </c>
      <c r="I9" s="184" t="str">
        <f ca="1">IF(ISERROR($V9),"",OFFSET('Smelter Look-up'!$H$4,$V9-4,0))</f>
        <v>Marin</v>
      </c>
      <c r="J9" s="184" t="str">
        <f ca="1">IF(ISERROR($V9),"",OFFSET('Smelter Look-up'!$I$4,$V9-4,0))</f>
        <v>Neuchâtel</v>
      </c>
      <c r="K9" s="224"/>
      <c r="L9" s="224"/>
      <c r="M9" s="224"/>
      <c r="N9" s="224"/>
      <c r="O9" s="224"/>
      <c r="P9" s="185"/>
      <c r="Q9" s="225" t="s">
        <v>15841</v>
      </c>
      <c r="R9" s="182" t="str">
        <f ca="1">IF(ISERROR($V9),"",OFFSET('Smelter Look-up'!$C$4,$V9-4,0)&amp;"")</f>
        <v>Metalor Technologies S.A.</v>
      </c>
      <c r="S9" s="181" t="str">
        <f t="shared" ca="1" si="2"/>
        <v>CH</v>
      </c>
      <c r="T9" s="181" t="str">
        <f ca="1">IF(B9="","",IF(ISERROR(MATCH($J9,SorP!$B$1:$B$6226,0)),"",INDIRECT("'SorP'!$A$"&amp;MATCH($S9&amp;$J9,SorP!C:C,0))))</f>
        <v>CH-NE</v>
      </c>
      <c r="U9" s="201"/>
      <c r="V9" s="226">
        <f>IF(C9="",NA(),IF(OR(C9="Smelter not listed",C9="Smelter not yet identified"),MATCH($B9&amp;$D9,'Smelter Look-up'!$J:$J,0),MATCH($B9&amp;$C9,'Smelter Look-up'!$J:$J,0)))</f>
        <v>181</v>
      </c>
      <c r="X9" s="227">
        <f t="shared" ca="1" si="3"/>
        <v>0</v>
      </c>
      <c r="AB9" s="228" t="str">
        <f t="shared" si="4"/>
        <v>GoldMetalor Technologies S.A.</v>
      </c>
    </row>
    <row r="10" spans="1:34" s="227" customFormat="1" ht="20" customHeight="1">
      <c r="A10" s="262"/>
      <c r="B10" s="182" t="s">
        <v>1098</v>
      </c>
      <c r="C10" s="186" t="s">
        <v>1195</v>
      </c>
      <c r="D10" s="230"/>
      <c r="E10" s="182" t="str">
        <f ca="1">IF(ISERROR($V10),"",OFFSET('Smelter Look-up'!$D$4,$V10-4,0)&amp;"")</f>
        <v>UNITED STATES OF AMERICA</v>
      </c>
      <c r="F10" s="182" t="str">
        <f ca="1">IF(ISERROR($V10),"",OFFSET('Smelter Look-up'!$E$4,$V10-4,0))</f>
        <v>CID001157</v>
      </c>
      <c r="G10" s="182" t="str">
        <f ca="1">IF(C10=$X$4,IF(ISERROR($V10),"Enter smelter details","RMI"),IF(ISERROR($V10),"",OFFSET('Smelter Look-up'!$F$4,$V10-4,0)))</f>
        <v>RMI</v>
      </c>
      <c r="H10" s="183">
        <f ca="1">IF(ISERROR($V10),"",OFFSET('Smelter Look-up'!$G$4,$V10-4,0))</f>
        <v>0</v>
      </c>
      <c r="I10" s="184" t="str">
        <f ca="1">IF(ISERROR($V10),"",OFFSET('Smelter Look-up'!$H$4,$V10-4,0))</f>
        <v>North Attleboro</v>
      </c>
      <c r="J10" s="184" t="str">
        <f ca="1">IF(ISERROR($V10),"",OFFSET('Smelter Look-up'!$I$4,$V10-4,0))</f>
        <v>Massachusetts</v>
      </c>
      <c r="K10" s="224"/>
      <c r="L10" s="224"/>
      <c r="M10" s="224"/>
      <c r="N10" s="224"/>
      <c r="O10" s="224"/>
      <c r="P10" s="185"/>
      <c r="Q10" s="225" t="s">
        <v>15841</v>
      </c>
      <c r="R10" s="182" t="str">
        <f ca="1">IF(ISERROR($V10),"",OFFSET('Smelter Look-up'!$C$4,$V10-4,0)&amp;"")</f>
        <v>Metalor USA Refining Corporation</v>
      </c>
      <c r="S10" s="181" t="str">
        <f t="shared" ca="1" si="2"/>
        <v>US</v>
      </c>
      <c r="T10" s="181" t="str">
        <f ca="1">IF(B10="","",IF(ISERROR(MATCH($J10,SorP!$B$1:$B$6226,0)),"",INDIRECT("'SorP'!$A$"&amp;MATCH($S10&amp;$J10,SorP!C:C,0))))</f>
        <v>US-MA</v>
      </c>
      <c r="U10" s="201"/>
      <c r="V10" s="226">
        <f>IF(C10="",NA(),IF(OR(C10="Smelter not listed",C10="Smelter not yet identified"),MATCH($B10&amp;$D10,'Smelter Look-up'!$J:$J,0),MATCH($B10&amp;$C10,'Smelter Look-up'!$J:$J,0)))</f>
        <v>182</v>
      </c>
      <c r="X10" s="227">
        <f t="shared" ca="1" si="3"/>
        <v>0</v>
      </c>
      <c r="AB10" s="228" t="str">
        <f t="shared" si="4"/>
        <v>GoldMetalor USA Refining Corporation</v>
      </c>
    </row>
    <row r="11" spans="1:34" s="227" customFormat="1" ht="20" customHeight="1">
      <c r="A11" s="262"/>
      <c r="B11" s="182" t="s">
        <v>1099</v>
      </c>
      <c r="C11" s="186" t="s">
        <v>2484</v>
      </c>
      <c r="D11" s="230"/>
      <c r="E11" s="182" t="str">
        <f ca="1">IF(ISERROR($V11),"",OFFSET('Smelter Look-up'!$D$4,$V11-4,0)&amp;"")</f>
        <v>BRAZIL</v>
      </c>
      <c r="F11" s="182" t="s">
        <v>764</v>
      </c>
      <c r="G11" s="182" t="str">
        <f ca="1">IF(C11=$X$4,IF(ISERROR($V11),"Enter smelter details","RMI"),IF(ISERROR($V11),"",OFFSET('Smelter Look-up'!$F$4,$V11-4,0)))</f>
        <v>RMI</v>
      </c>
      <c r="H11" s="183">
        <f ca="1">IF(ISERROR($V11),"",OFFSET('Smelter Look-up'!$G$4,$V11-4,0))</f>
        <v>0</v>
      </c>
      <c r="I11" s="184" t="str">
        <f ca="1">IF(ISERROR($V11),"",OFFSET('Smelter Look-up'!$H$4,$V11-4,0))</f>
        <v>Ariquemes</v>
      </c>
      <c r="J11" s="184" t="str">
        <f ca="1">IF(ISERROR($V11),"",OFFSET('Smelter Look-up'!$I$4,$V11-4,0))</f>
        <v>Rondônia</v>
      </c>
      <c r="K11" s="224"/>
      <c r="L11" s="224"/>
      <c r="M11" s="224"/>
      <c r="N11" s="224"/>
      <c r="O11" s="224"/>
      <c r="P11" s="185"/>
      <c r="Q11" s="225" t="s">
        <v>15838</v>
      </c>
      <c r="R11" s="182" t="str">
        <f ca="1">IF(ISERROR($V11),"",OFFSET('Smelter Look-up'!$C$4,$V11-4,0)&amp;"")</f>
        <v>White Solder Metalurgia e Mineracao Ltda.</v>
      </c>
      <c r="S11" s="181" t="str">
        <f t="shared" ca="1" si="2"/>
        <v>BR</v>
      </c>
      <c r="T11" s="181" t="str">
        <f ca="1">IF(B11="","",IF(ISERROR(MATCH($J11,SorP!$B$1:$B$6226,0)),"",INDIRECT("'SorP'!$A$"&amp;MATCH($S11&amp;$J11,SorP!C:C,0))))</f>
        <v>BR-RO</v>
      </c>
      <c r="U11" s="201"/>
      <c r="V11" s="226">
        <f>IF(C11="",NA(),IF(OR(C11="Smelter not listed",C11="Smelter not yet identified"),MATCH($B11&amp;$D11,'Smelter Look-up'!$J:$J,0),MATCH($B11&amp;$C11,'Smelter Look-up'!$J:$J,0)))</f>
        <v>530</v>
      </c>
      <c r="X11" s="227">
        <f t="shared" ca="1" si="3"/>
        <v>0</v>
      </c>
      <c r="AB11" s="228" t="str">
        <f t="shared" si="4"/>
        <v>TinWhite Solder Metalurgia e Mineracao Ltda.</v>
      </c>
    </row>
    <row r="12" spans="1:34" s="227" customFormat="1" ht="20" customHeight="1">
      <c r="A12" s="262"/>
      <c r="B12" s="182" t="s">
        <v>1099</v>
      </c>
      <c r="C12" s="186" t="s">
        <v>13713</v>
      </c>
      <c r="D12" s="230"/>
      <c r="E12" s="182" t="str">
        <f ca="1">IF(ISERROR($V12),"",OFFSET('Smelter Look-up'!$D$4,$V12-4,0)&amp;"")</f>
        <v>INDONESIA</v>
      </c>
      <c r="F12" s="182" t="s">
        <v>760</v>
      </c>
      <c r="G12" s="182" t="str">
        <f ca="1">IF(C12=$X$4,IF(ISERROR($V12),"Enter smelter details","RMI"),IF(ISERROR($V12),"",OFFSET('Smelter Look-up'!$F$4,$V12-4,0)))</f>
        <v>RMI</v>
      </c>
      <c r="H12" s="183">
        <f ca="1">IF(ISERROR($V12),"",OFFSET('Smelter Look-up'!$G$4,$V12-4,0))</f>
        <v>0</v>
      </c>
      <c r="I12" s="184" t="str">
        <f ca="1">IF(ISERROR($V12),"",OFFSET('Smelter Look-up'!$H$4,$V12-4,0))</f>
        <v>Mentok</v>
      </c>
      <c r="J12" s="184" t="str">
        <f ca="1">IF(ISERROR($V12),"",OFFSET('Smelter Look-up'!$I$4,$V12-4,0))</f>
        <v>Kepulauan Bangka Belitung</v>
      </c>
      <c r="K12" s="224"/>
      <c r="L12" s="224"/>
      <c r="M12" s="224"/>
      <c r="N12" s="224"/>
      <c r="O12" s="224"/>
      <c r="P12" s="185"/>
      <c r="Q12" s="225" t="s">
        <v>15839</v>
      </c>
      <c r="R12" s="182" t="str">
        <f ca="1">IF(ISERROR($V12),"",OFFSET('Smelter Look-up'!$C$4,$V12-4,0)&amp;"")</f>
        <v>PT Timah Tbk Mentok</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510</v>
      </c>
      <c r="X12" s="227">
        <f t="shared" ca="1" si="3"/>
        <v>0</v>
      </c>
      <c r="AB12" s="228" t="str">
        <f t="shared" si="4"/>
        <v>TinPT Timah Tbk Mentok</v>
      </c>
    </row>
    <row r="13" spans="1:34" s="227" customFormat="1" ht="20" customHeight="1">
      <c r="A13" s="262"/>
      <c r="B13" s="182" t="s">
        <v>1099</v>
      </c>
      <c r="C13" s="186" t="s">
        <v>15341</v>
      </c>
      <c r="D13" s="230"/>
      <c r="E13" s="182" t="str">
        <f ca="1">IF(ISERROR($V13),"",OFFSET('Smelter Look-up'!$D$4,$V13-4,0)&amp;"")</f>
        <v>BELGIUM</v>
      </c>
      <c r="F13" s="182" t="s">
        <v>1772</v>
      </c>
      <c r="G13" s="182" t="str">
        <f ca="1">IF(C13=$X$4,IF(ISERROR($V13),"Enter smelter details","RMI"),IF(ISERROR($V13),"",OFFSET('Smelter Look-up'!$F$4,$V13-4,0)))</f>
        <v>RMI</v>
      </c>
      <c r="H13" s="183">
        <f ca="1">IF(ISERROR($V13),"",OFFSET('Smelter Look-up'!$G$4,$V13-4,0))</f>
        <v>0</v>
      </c>
      <c r="I13" s="184" t="str">
        <f ca="1">IF(ISERROR($V13),"",OFFSET('Smelter Look-up'!$H$4,$V13-4,0))</f>
        <v>Beerse</v>
      </c>
      <c r="J13" s="184" t="str">
        <f ca="1">IF(ISERROR($V13),"",OFFSET('Smelter Look-up'!$I$4,$V13-4,0))</f>
        <v>Antwerpen</v>
      </c>
      <c r="K13" s="224"/>
      <c r="L13" s="224"/>
      <c r="M13" s="224"/>
      <c r="N13" s="224"/>
      <c r="O13" s="224"/>
      <c r="P13" s="185"/>
      <c r="Q13" s="225" t="s">
        <v>15838</v>
      </c>
      <c r="R13" s="182" t="str">
        <f ca="1">IF(ISERROR($V13),"",OFFSET('Smelter Look-up'!$C$4,$V13-4,0)&amp;"")</f>
        <v>Aurubis Beerse</v>
      </c>
      <c r="S13" s="181" t="str">
        <f t="shared" ca="1" si="2"/>
        <v>BE</v>
      </c>
      <c r="T13" s="181" t="str">
        <f ca="1">IF(B13="","",IF(ISERROR(MATCH($J13,SorP!$B$1:$B$6226,0)),"",INDIRECT("'SorP'!$A$"&amp;MATCH($S13&amp;$J13,SorP!C:C,0))))</f>
        <v>BE-VAN</v>
      </c>
      <c r="U13" s="201"/>
      <c r="V13" s="226">
        <f>IF(C13="",NA(),IF(OR(C13="Smelter not listed",C13="Smelter not yet identified"),MATCH($B13&amp;$D13,'Smelter Look-up'!$J:$J,0),MATCH($B13&amp;$C13,'Smelter Look-up'!$J:$J,0)))</f>
        <v>404</v>
      </c>
      <c r="X13" s="227">
        <f t="shared" ca="1" si="3"/>
        <v>0</v>
      </c>
      <c r="AB13" s="228" t="str">
        <f t="shared" si="4"/>
        <v>TinAurubis Beerse</v>
      </c>
    </row>
    <row r="14" spans="1:34" s="227" customFormat="1" ht="20" customHeight="1">
      <c r="A14" s="262"/>
      <c r="B14" s="182" t="s">
        <v>1099</v>
      </c>
      <c r="C14" s="186" t="s">
        <v>15833</v>
      </c>
      <c r="D14" s="230"/>
      <c r="E14" s="182" t="s">
        <v>1074</v>
      </c>
      <c r="F14" s="182" t="s">
        <v>15835</v>
      </c>
      <c r="G14" s="182" t="s">
        <v>13177</v>
      </c>
      <c r="H14" s="183" t="str">
        <f ca="1">IF(ISERROR($V14),"",OFFSET('Smelter Look-up'!$G$4,$V14-4,0))</f>
        <v/>
      </c>
      <c r="I14" s="184" t="s">
        <v>1726</v>
      </c>
      <c r="J14" s="184" t="s">
        <v>12799</v>
      </c>
      <c r="K14" s="224"/>
      <c r="L14" s="224"/>
      <c r="M14" s="224"/>
      <c r="N14" s="224"/>
      <c r="O14" s="224"/>
      <c r="P14" s="185"/>
      <c r="Q14" s="225" t="s">
        <v>15840</v>
      </c>
      <c r="R14" s="182" t="str">
        <f ca="1">IF(ISERROR($V14),"",OFFSET('Smelter Look-up'!$C$4,$V14-4,0)&amp;"")</f>
        <v/>
      </c>
      <c r="S14" s="181" t="str">
        <f t="shared" ca="1" si="2"/>
        <v>ID</v>
      </c>
      <c r="T14" s="181" t="str">
        <f ca="1">IF(B14="","",IF(ISERROR(MATCH($J14,SorP!$B$1:$B$6226,0)),"",INDIRECT("'SorP'!$A$"&amp;MATCH($S14&amp;$J14,SorP!C:C,0))))</f>
        <v>ID-BB</v>
      </c>
      <c r="U14" s="201"/>
      <c r="V14" s="226" t="e">
        <f>IF(C14="",NA(),IF(OR(C14="Smelter not listed",C14="Smelter not yet identified"),MATCH($B14&amp;$D14,'Smelter Look-up'!$J:$J,0),MATCH($B14&amp;$C14,'Smelter Look-up'!$J:$J,0)))</f>
        <v>#N/A</v>
      </c>
      <c r="X14" s="227">
        <f t="shared" si="3"/>
        <v>0</v>
      </c>
      <c r="AB14" s="228" t="str">
        <f t="shared" si="4"/>
        <v>TinPT Refined Bangka Tin</v>
      </c>
    </row>
    <row r="15" spans="1:34" s="227" customFormat="1" ht="20" customHeight="1">
      <c r="A15" s="262"/>
      <c r="B15" s="182" t="s">
        <v>1099</v>
      </c>
      <c r="C15" s="186" t="s">
        <v>13715</v>
      </c>
      <c r="D15" s="230"/>
      <c r="E15" s="182" t="str">
        <f ca="1">IF(ISERROR($V15),"",OFFSET('Smelter Look-up'!$D$4,$V15-4,0)&amp;"")</f>
        <v>BOLIVIA (PLURINATIONAL STATE OF)</v>
      </c>
      <c r="F15" s="182" t="s">
        <v>758</v>
      </c>
      <c r="G15" s="182" t="str">
        <f ca="1">IF(C15=$X$4,IF(ISERROR($V15),"Enter smelter details","RMI"),IF(ISERROR($V15),"",OFFSET('Smelter Look-up'!$F$4,$V15-4,0)))</f>
        <v>RMI</v>
      </c>
      <c r="H15" s="183">
        <f ca="1">IF(ISERROR($V15),"",OFFSET('Smelter Look-up'!$G$4,$V15-4,0))</f>
        <v>0</v>
      </c>
      <c r="I15" s="184" t="str">
        <f ca="1">IF(ISERROR($V15),"",OFFSET('Smelter Look-up'!$H$4,$V15-4,0))</f>
        <v>Oruro</v>
      </c>
      <c r="J15" s="184" t="str">
        <f ca="1">IF(ISERROR($V15),"",OFFSET('Smelter Look-up'!$I$4,$V15-4,0))</f>
        <v>Oruro</v>
      </c>
      <c r="K15" s="224"/>
      <c r="L15" s="224"/>
      <c r="M15" s="224"/>
      <c r="N15" s="224"/>
      <c r="O15" s="224"/>
      <c r="P15" s="185"/>
      <c r="Q15" s="225" t="s">
        <v>15838</v>
      </c>
      <c r="R15" s="182" t="str">
        <f ca="1">IF(ISERROR($V15),"",OFFSET('Smelter Look-up'!$C$4,$V15-4,0)&amp;"")</f>
        <v>Operaciones Metalurgicas S.A.</v>
      </c>
      <c r="S15" s="181" t="str">
        <f t="shared" ca="1" si="2"/>
        <v>BO</v>
      </c>
      <c r="T15" s="181" t="str">
        <f ca="1">IF(B15="","",IF(ISERROR(MATCH($J15,SorP!$B$1:$B$6226,0)),"",INDIRECT("'SorP'!$A$"&amp;MATCH($S15&amp;$J15,SorP!C:C,0))))</f>
        <v>BO-O</v>
      </c>
      <c r="U15" s="201"/>
      <c r="V15" s="226">
        <f>IF(C15="",NA(),IF(OR(C15="Smelter not listed",C15="Smelter not yet identified"),MATCH($B15&amp;$D15,'Smelter Look-up'!$J:$J,0),MATCH($B15&amp;$C15,'Smelter Look-up'!$J:$J,0)))</f>
        <v>493</v>
      </c>
      <c r="X15" s="227">
        <f t="shared" ca="1" si="3"/>
        <v>0</v>
      </c>
      <c r="AB15" s="228" t="str">
        <f t="shared" si="4"/>
        <v>TinOperaciones Metalurgicas S.A.</v>
      </c>
    </row>
    <row r="16" spans="1:34" s="227" customFormat="1" ht="20" customHeight="1">
      <c r="A16" s="262"/>
      <c r="B16" s="182" t="s">
        <v>1099</v>
      </c>
      <c r="C16" s="186" t="s">
        <v>13714</v>
      </c>
      <c r="D16" s="230"/>
      <c r="E16" s="182" t="str">
        <f ca="1">IF(ISERROR($V16),"",OFFSET('Smelter Look-up'!$D$4,$V16-4,0)&amp;"")</f>
        <v>INDONESIA</v>
      </c>
      <c r="F16" s="182" t="s">
        <v>777</v>
      </c>
      <c r="G16" s="182" t="str">
        <f ca="1">IF(C16=$X$4,IF(ISERROR($V16),"Enter smelter details","RMI"),IF(ISERROR($V16),"",OFFSET('Smelter Look-up'!$F$4,$V16-4,0)))</f>
        <v>RMI</v>
      </c>
      <c r="H16" s="183">
        <f ca="1">IF(ISERROR($V16),"",OFFSET('Smelter Look-up'!$G$4,$V16-4,0))</f>
        <v>0</v>
      </c>
      <c r="I16" s="184" t="str">
        <f ca="1">IF(ISERROR($V16),"",OFFSET('Smelter Look-up'!$H$4,$V16-4,0))</f>
        <v>Kundur</v>
      </c>
      <c r="J16" s="184" t="str">
        <f ca="1">IF(ISERROR($V16),"",OFFSET('Smelter Look-up'!$I$4,$V16-4,0))</f>
        <v>Riau</v>
      </c>
      <c r="K16" s="224"/>
      <c r="L16" s="224"/>
      <c r="M16" s="224"/>
      <c r="N16" s="224"/>
      <c r="O16" s="224"/>
      <c r="P16" s="185"/>
      <c r="Q16" s="225" t="s">
        <v>15839</v>
      </c>
      <c r="R16" s="182" t="str">
        <f ca="1">IF(ISERROR($V16),"",OFFSET('Smelter Look-up'!$C$4,$V16-4,0)&amp;"")</f>
        <v>PT Timah Tbk Kundur</v>
      </c>
      <c r="S16" s="181" t="str">
        <f t="shared" ca="1" si="2"/>
        <v>ID</v>
      </c>
      <c r="T16" s="181" t="str">
        <f ca="1">IF(B16="","",IF(ISERROR(MATCH($J16,SorP!$B$1:$B$6226,0)),"",INDIRECT("'SorP'!$A$"&amp;MATCH($S16&amp;$J16,SorP!C:C,0))))</f>
        <v>ID-RI</v>
      </c>
      <c r="U16" s="201"/>
      <c r="V16" s="226">
        <f>IF(C16="",NA(),IF(OR(C16="Smelter not listed",C16="Smelter not yet identified"),MATCH($B16&amp;$D16,'Smelter Look-up'!$J:$J,0),MATCH($B16&amp;$C16,'Smelter Look-up'!$J:$J,0)))</f>
        <v>509</v>
      </c>
      <c r="X16" s="227">
        <f t="shared" ca="1" si="3"/>
        <v>0</v>
      </c>
      <c r="AB16" s="228" t="str">
        <f t="shared" si="4"/>
        <v>TinPT Timah Tbk Kundur</v>
      </c>
    </row>
    <row r="17" spans="1:28" s="227" customFormat="1" ht="20" customHeight="1">
      <c r="A17" s="262"/>
      <c r="B17" s="182" t="s">
        <v>1099</v>
      </c>
      <c r="C17" s="186" t="s">
        <v>15834</v>
      </c>
      <c r="D17" s="230"/>
      <c r="E17" s="182" t="s">
        <v>1074</v>
      </c>
      <c r="F17" s="182" t="s">
        <v>15836</v>
      </c>
      <c r="G17" s="182" t="s">
        <v>13177</v>
      </c>
      <c r="H17" s="183" t="str">
        <f ca="1">IF(ISERROR($V17),"",OFFSET('Smelter Look-up'!$G$4,$V17-4,0))</f>
        <v/>
      </c>
      <c r="I17" s="184" t="s">
        <v>14989</v>
      </c>
      <c r="J17" s="184" t="s">
        <v>12799</v>
      </c>
      <c r="K17" s="224"/>
      <c r="L17" s="224"/>
      <c r="M17" s="224"/>
      <c r="N17" s="224"/>
      <c r="O17" s="224"/>
      <c r="P17" s="185"/>
      <c r="Q17" s="225" t="s">
        <v>15838</v>
      </c>
      <c r="R17" s="182" t="str">
        <f ca="1">IF(ISERROR($V17),"",OFFSET('Smelter Look-up'!$C$4,$V17-4,0)&amp;"")</f>
        <v/>
      </c>
      <c r="S17" s="181" t="str">
        <f t="shared" ca="1" si="2"/>
        <v>ID</v>
      </c>
      <c r="T17" s="181" t="str">
        <f ca="1">IF(B17="","",IF(ISERROR(MATCH($J17,SorP!$B$1:$B$6226,0)),"",INDIRECT("'SorP'!$A$"&amp;MATCH($S17&amp;$J17,SorP!C:C,0))))</f>
        <v>ID-BB</v>
      </c>
      <c r="U17" s="201"/>
      <c r="V17" s="226" t="e">
        <f>IF(C17="",NA(),IF(OR(C17="Smelter not listed",C17="Smelter not yet identified"),MATCH($B17&amp;$D17,'Smelter Look-up'!$J:$J,0),MATCH($B17&amp;$C17,'Smelter Look-up'!$J:$J,0)))</f>
        <v>#N/A</v>
      </c>
      <c r="X17" s="227">
        <f t="shared" si="3"/>
        <v>0</v>
      </c>
      <c r="AB17" s="228" t="str">
        <f t="shared" si="4"/>
        <v>TinPT Bangka Serumpun</v>
      </c>
    </row>
    <row r="18" spans="1:28" s="227" customFormat="1" ht="20" customHeight="1">
      <c r="A18" s="181"/>
      <c r="B18" s="182" t="s">
        <v>1099</v>
      </c>
      <c r="C18" s="186" t="s">
        <v>788</v>
      </c>
      <c r="D18" s="230"/>
      <c r="E18" s="182" t="str">
        <f ca="1">IF(ISERROR($V18),"",OFFSET('Smelter Look-up'!$D$4,$V18-4,0)&amp;"")</f>
        <v>POLAND</v>
      </c>
      <c r="F18" s="182" t="s">
        <v>747</v>
      </c>
      <c r="G18" s="182" t="str">
        <f ca="1">IF(C18=$X$4,IF(ISERROR($V18),"Enter smelter details","RMI"),IF(ISERROR($V18),"",OFFSET('Smelter Look-up'!$F$4,$V18-4,0)))</f>
        <v>RMI</v>
      </c>
      <c r="H18" s="183">
        <f ca="1">IF(ISERROR($V18),"",OFFSET('Smelter Look-up'!$G$4,$V18-4,0))</f>
        <v>0</v>
      </c>
      <c r="I18" s="184" t="str">
        <f ca="1">IF(ISERROR($V18),"",OFFSET('Smelter Look-up'!$H$4,$V18-4,0))</f>
        <v>Chmielów</v>
      </c>
      <c r="J18" s="184" t="str">
        <f ca="1">IF(ISERROR($V18),"",OFFSET('Smelter Look-up'!$I$4,$V18-4,0))</f>
        <v>Podkarpackie</v>
      </c>
      <c r="K18" s="224"/>
      <c r="L18" s="224"/>
      <c r="M18" s="224"/>
      <c r="N18" s="224"/>
      <c r="O18" s="224"/>
      <c r="P18" s="185"/>
      <c r="Q18" s="225" t="s">
        <v>15839</v>
      </c>
      <c r="R18" s="182" t="str">
        <f ca="1">IF(ISERROR($V18),"",OFFSET('Smelter Look-up'!$C$4,$V18-4,0)&amp;"")</f>
        <v>Fenix Metals</v>
      </c>
      <c r="S18" s="181" t="str">
        <f t="shared" ca="1" si="2"/>
        <v>PL</v>
      </c>
      <c r="T18" s="181" t="str">
        <f ca="1">IF(B18="","",IF(ISERROR(MATCH($J18,SorP!$B$1:$B$6226,0)),"",INDIRECT("'SorP'!$A$"&amp;MATCH($S18&amp;$J18,SorP!C:C,0))))</f>
        <v>PL-18</v>
      </c>
      <c r="U18" s="201"/>
      <c r="V18" s="226">
        <f>IF(C18="",NA(),IF(OR(C18="Smelter not listed",C18="Smelter not yet identified"),MATCH($B18&amp;$D18,'Smelter Look-up'!$J:$J,0),MATCH($B18&amp;$C18,'Smelter Look-up'!$J:$J,0)))</f>
        <v>437</v>
      </c>
      <c r="X18" s="227">
        <f t="shared" ca="1" si="3"/>
        <v>0</v>
      </c>
      <c r="AB18" s="228" t="str">
        <f t="shared" si="4"/>
        <v>TinFenix Metals</v>
      </c>
    </row>
    <row r="19" spans="1:28" s="227" customFormat="1" ht="21" customHeight="1">
      <c r="A19" s="181"/>
      <c r="B19" s="182" t="s">
        <v>1099</v>
      </c>
      <c r="C19" s="186" t="s">
        <v>14957</v>
      </c>
      <c r="D19" s="230"/>
      <c r="E19" s="182" t="str">
        <f ca="1">IF(ISERROR($V19),"",OFFSET('Smelter Look-up'!$D$4,$V19-4,0)&amp;"")</f>
        <v>SPAIN</v>
      </c>
      <c r="F19" s="182" t="s">
        <v>14958</v>
      </c>
      <c r="G19" s="182" t="str">
        <f ca="1">IF(C19=$X$4,IF(ISERROR($V19),"Enter smelter details","RMI"),IF(ISERROR($V19),"",OFFSET('Smelter Look-up'!$F$4,$V19-4,0)))</f>
        <v>RMI</v>
      </c>
      <c r="H19" s="183">
        <f ca="1">IF(ISERROR($V19),"",OFFSET('Smelter Look-up'!$G$4,$V19-4,0))</f>
        <v>0</v>
      </c>
      <c r="I19" s="184" t="str">
        <f ca="1">IF(ISERROR($V19),"",OFFSET('Smelter Look-up'!$H$4,$V19-4,0))</f>
        <v>Las Ventas de Retamosa</v>
      </c>
      <c r="J19" s="184" t="str">
        <f ca="1">IF(ISERROR($V19),"",OFFSET('Smelter Look-up'!$I$4,$V19-4,0))</f>
        <v>Toledo</v>
      </c>
      <c r="K19" s="224"/>
      <c r="L19" s="224"/>
      <c r="M19" s="224"/>
      <c r="N19" s="224"/>
      <c r="O19" s="224"/>
      <c r="P19" s="185"/>
      <c r="Q19" s="225" t="s">
        <v>15838</v>
      </c>
      <c r="R19" s="182" t="str">
        <f ca="1">IF(ISERROR($V19),"",OFFSET('Smelter Look-up'!$C$4,$V19-4,0)&amp;"")</f>
        <v>CRM Synergies</v>
      </c>
      <c r="S19" s="181" t="str">
        <f t="shared" ca="1" si="2"/>
        <v>ES</v>
      </c>
      <c r="T19" s="181" t="str">
        <f ca="1">IF(B19="","",IF(ISERROR(MATCH($J19,SorP!$B$1:$B$6226,0)),"",INDIRECT("'SorP'!$A$"&amp;MATCH($S19&amp;$J19,SorP!C:C,0))))</f>
        <v>ES-TO</v>
      </c>
      <c r="U19" s="201"/>
      <c r="V19" s="226">
        <f>IF(C19="",NA(),IF(OR(C19="Smelter not listed",C19="Smelter not yet identified"),MATCH($B19&amp;$D19,'Smelter Look-up'!$J:$J,0),MATCH($B19&amp;$C19,'Smelter Look-up'!$J:$J,0)))</f>
        <v>419</v>
      </c>
      <c r="X19" s="227">
        <f t="shared" ca="1" si="3"/>
        <v>0</v>
      </c>
      <c r="AB19" s="228" t="str">
        <f t="shared" si="4"/>
        <v>TinCRM Synergies</v>
      </c>
    </row>
    <row r="20" spans="1:28" s="227" customFormat="1" ht="19.899999999999999" customHeight="1">
      <c r="A20" s="181"/>
      <c r="B20" s="182" t="s">
        <v>1099</v>
      </c>
      <c r="C20" s="186" t="s">
        <v>1754</v>
      </c>
      <c r="D20" s="230"/>
      <c r="E20" s="182" t="s">
        <v>859</v>
      </c>
      <c r="F20" s="182" t="s">
        <v>763</v>
      </c>
      <c r="G20" s="182" t="s">
        <v>13177</v>
      </c>
      <c r="H20" s="183">
        <v>0</v>
      </c>
      <c r="I20" s="184" t="s">
        <v>1752</v>
      </c>
      <c r="J20" s="184" t="s">
        <v>1753</v>
      </c>
      <c r="K20" s="224"/>
      <c r="L20" s="224"/>
      <c r="M20" s="224"/>
      <c r="N20" s="224"/>
      <c r="O20" s="224"/>
      <c r="P20" s="185"/>
      <c r="Q20" s="225" t="s">
        <v>15842</v>
      </c>
      <c r="R20" s="182" t="str">
        <f ca="1">IF(ISERROR($V20),"",OFFSET('Smelter Look-up'!$C$4,$V20-4,0)&amp;"")</f>
        <v>Thaisarco</v>
      </c>
      <c r="S20" s="181" t="str">
        <f t="shared" ca="1" si="2"/>
        <v>TH</v>
      </c>
      <c r="T20" s="181" t="str">
        <f ca="1">IF(B20="","",IF(ISERROR(MATCH($J20,SorP!$B$1:$B$6226,0)),"",INDIRECT("'SorP'!$A$"&amp;MATCH($S20&amp;$J20,SorP!C:C,0))))</f>
        <v>TH-83</v>
      </c>
      <c r="U20" s="201"/>
      <c r="V20" s="226">
        <f>IF(C20="",NA(),IF(OR(C20="Smelter not listed",C20="Smelter not yet identified"),MATCH($B20&amp;$D20,'Smelter Look-up'!$J:$J,0),MATCH($B20&amp;$C20,'Smelter Look-up'!$J:$J,0)))</f>
        <v>520</v>
      </c>
      <c r="X20" s="227">
        <f t="shared" si="3"/>
        <v>0</v>
      </c>
      <c r="AB20" s="228" t="str">
        <f t="shared" si="4"/>
        <v>TinThailand Smelting &amp; Refining Co Ltd</v>
      </c>
    </row>
    <row r="21" spans="1:28" s="227" customFormat="1" ht="18.75" customHeight="1">
      <c r="A21" s="181"/>
      <c r="B21" s="182" t="s">
        <v>1099</v>
      </c>
      <c r="C21" s="186" t="s">
        <v>13761</v>
      </c>
      <c r="D21" s="230"/>
      <c r="E21" s="182" t="s">
        <v>1074</v>
      </c>
      <c r="F21" s="182" t="s">
        <v>13775</v>
      </c>
      <c r="G21" s="182" t="s">
        <v>13177</v>
      </c>
      <c r="H21" s="183">
        <v>0</v>
      </c>
      <c r="I21" s="184" t="s">
        <v>14989</v>
      </c>
      <c r="J21" s="184" t="s">
        <v>12799</v>
      </c>
      <c r="K21" s="224"/>
      <c r="L21" s="224"/>
      <c r="M21" s="224"/>
      <c r="N21" s="224"/>
      <c r="O21" s="224"/>
      <c r="P21" s="185"/>
      <c r="Q21" s="225" t="s">
        <v>15842</v>
      </c>
      <c r="R21" s="182" t="str">
        <f ca="1">IF(ISERROR($V21),"",OFFSET('Smelter Look-up'!$C$4,$V21-4,0)&amp;"")</f>
        <v>PT Mitra Sukses Globalindo</v>
      </c>
      <c r="S21" s="181" t="str">
        <f t="shared" ca="1" si="2"/>
        <v>ID</v>
      </c>
      <c r="T21" s="181" t="str">
        <f ca="1">IF(B21="","",IF(ISERROR(MATCH($J21,SorP!$B$1:$B$6226,0)),"",INDIRECT("'SorP'!$A$"&amp;MATCH($S21&amp;$J21,SorP!C:C,0))))</f>
        <v>ID-BB</v>
      </c>
      <c r="U21" s="201"/>
      <c r="V21" s="226">
        <f>IF(C21="",NA(),IF(OR(C21="Smelter not listed",C21="Smelter not yet identified"),MATCH($B21&amp;$D21,'Smelter Look-up'!$J:$J,0),MATCH($B21&amp;$C21,'Smelter Look-up'!$J:$J,0)))</f>
        <v>503</v>
      </c>
      <c r="X21" s="227">
        <f t="shared" si="3"/>
        <v>0</v>
      </c>
      <c r="AB21" s="228" t="str">
        <f t="shared" si="4"/>
        <v>TinPT Mitra Sukses Globalindo</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2.7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3B62147-A600-4BE9-92C4-39C402D6471C}"/>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8" activePane="bottomRight" state="frozen"/>
      <selection activeCell="A4" sqref="A4"/>
      <selection pane="topRight" activeCell="A4" sqref="A4"/>
      <selection pane="bottomLeft" activeCell="A4" sqref="A4"/>
      <selection pane="bottomRight" sqref="A1:C1"/>
    </sheetView>
  </sheetViews>
  <sheetFormatPr baseColWidth="10" defaultColWidth="8.8203125" defaultRowHeight="12.4"/>
  <cols>
    <col min="1" max="1" width="45.17578125" style="19" customWidth="1"/>
    <col min="2" max="2" width="42.8203125" style="20" customWidth="1"/>
    <col min="3" max="3" width="51.52734375" style="19" customWidth="1"/>
    <col min="4" max="4" width="29.17578125" style="20" customWidth="1"/>
    <col min="5" max="5" width="9" style="19" customWidth="1"/>
    <col min="6" max="6" width="13.52734375" style="19" hidden="1" customWidth="1"/>
    <col min="7" max="7" width="13.3515625" style="19" hidden="1" customWidth="1"/>
    <col min="8" max="9" width="9" style="19" hidden="1" customWidth="1"/>
    <col min="10" max="10" width="48.8203125" style="19" hidden="1" customWidth="1"/>
    <col min="11" max="11" width="9" style="19" hidden="1" customWidth="1"/>
    <col min="12" max="15" width="8.8203125" style="19" hidden="1" customWidth="1"/>
    <col min="16" max="18" width="8.8203125" style="19" customWidth="1"/>
    <col min="19" max="16384" width="8.8203125" style="19"/>
  </cols>
  <sheetData>
    <row r="1" spans="1:10" ht="29.25">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779</v>
      </c>
    </row>
    <row r="2" spans="1:10" ht="14.65">
      <c r="A2" s="66" t="s">
        <v>869</v>
      </c>
      <c r="B2" s="67" t="str">
        <f>IF(F65=1,"Click here to return to Smelter List","")</f>
        <v/>
      </c>
      <c r="C2" s="121" t="str">
        <f>IF(F65=1,"Click here to return to Product List","")</f>
        <v/>
      </c>
      <c r="D2" s="151" t="str">
        <f ca="1">IF(H70=0,"0",H70)</f>
        <v>0</v>
      </c>
    </row>
    <row r="3" spans="1:10" ht="14.6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512</v>
      </c>
      <c r="G3" s="19" t="s">
        <v>511</v>
      </c>
      <c r="H3" s="19" t="s">
        <v>513</v>
      </c>
      <c r="I3" s="19" t="s">
        <v>1283</v>
      </c>
      <c r="J3" s="19" t="s">
        <v>1284</v>
      </c>
    </row>
    <row r="4" spans="1:10" ht="38.25">
      <c r="A4" s="90" t="str">
        <f ca="1">Declaration!B8</f>
        <v>Firmenname (*):</v>
      </c>
      <c r="B4" s="89" t="str">
        <f>Declaration!D8</f>
        <v>RERO AG</v>
      </c>
      <c r="C4" s="89" t="str">
        <f t="shared" ref="C4" ca="1" si="0">IF(H4=1,J4,I4)</f>
        <v>Vollständig</v>
      </c>
      <c r="D4" s="95" t="str">
        <f>IF(H4=1,"Click here to enter Company Name","")</f>
        <v/>
      </c>
      <c r="E4" s="20" t="s">
        <v>1273</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8.25">
      <c r="A5" s="90" t="str">
        <f ca="1">Declaration!B9</f>
        <v>Geltungsbereich der Erklärung (*):</v>
      </c>
      <c r="B5" s="89" t="str">
        <f>Declaration!D9</f>
        <v>A. Company</v>
      </c>
      <c r="C5" s="89" t="str">
        <f ca="1">IF(H5=1,J5,I5)</f>
        <v>Vollständig</v>
      </c>
      <c r="D5" s="95" t="str">
        <f>IF(H5=1,"Click here to enter Declaration Scope","")</f>
        <v/>
      </c>
      <c r="E5" s="20" t="s">
        <v>1273</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8.25">
      <c r="A6" s="90" t="str">
        <f ca="1">Declaration!B10</f>
        <v>Beschreibung des Geltungsbereichs</v>
      </c>
      <c r="B6" s="89" t="str">
        <f>Declaration!D10</f>
        <v>Galvanische Prozesse in denen Zinn und Gold eingesetzt werden. Diese Metalle verbleiben auf den Kundenteilen.</v>
      </c>
      <c r="C6" s="89" t="str">
        <f ca="1">IF(H6=1,J6,I6)</f>
        <v>Vollständig</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8.25">
      <c r="A7" s="90" t="str">
        <f ca="1">Declaration!B15</f>
        <v>Name des Ansprechpartners (*):</v>
      </c>
      <c r="B7" s="89" t="str">
        <f>Declaration!D15</f>
        <v>Thomas Tschopp</v>
      </c>
      <c r="C7" s="89" t="str">
        <f ca="1">IF(H7=1,J7,I7)</f>
        <v>Vollständig</v>
      </c>
      <c r="D7" s="95" t="str">
        <f>IF(H7=1,"Click here to enter Contact Name","")</f>
        <v/>
      </c>
      <c r="E7" s="20" t="s">
        <v>1273</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8.25">
      <c r="A8" s="90" t="str">
        <f ca="1">Declaration!B16</f>
        <v>E-Mail-Adresse des Ansprechpartners (*):</v>
      </c>
      <c r="B8" s="89" t="str">
        <f>Declaration!D16</f>
        <v>thomas.tschopp@rero-ag.ch</v>
      </c>
      <c r="C8" s="89" t="str">
        <f ca="1">IF(H8=1,J8,I8)</f>
        <v>Vollständig</v>
      </c>
      <c r="D8" s="95" t="str">
        <f>IF(H8=1,"Click here to enter Email-Contact","")</f>
        <v/>
      </c>
      <c r="E8" s="20" t="s">
        <v>1273</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8.25">
      <c r="A9" s="90" t="str">
        <f ca="1">Declaration!B17</f>
        <v>Telefonnummer des Ansprechpartners (*):</v>
      </c>
      <c r="B9" s="273" t="str">
        <f>Declaration!D17</f>
        <v>+41 61 965 95 07</v>
      </c>
      <c r="C9" s="89" t="str">
        <f ca="1">IF(H9=1,J9,I9)</f>
        <v>Vollständig</v>
      </c>
      <c r="D9" s="95" t="str">
        <f>IF(H9=1,"Click here to enter Phone-Contact","")</f>
        <v/>
      </c>
      <c r="E9" s="20" t="s">
        <v>1273</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8.25">
      <c r="A10" s="90" t="str">
        <f ca="1">Declaration!B18</f>
        <v>Bevollmächtigter (*):</v>
      </c>
      <c r="B10" s="89" t="str">
        <f>Declaration!D18</f>
        <v>Jochen Hilbert</v>
      </c>
      <c r="C10" s="89" t="str">
        <f t="shared" ref="C10" ca="1" si="4">IF(H10=1,J10,I10)</f>
        <v>Vollständig</v>
      </c>
      <c r="D10" s="95" t="str">
        <f>IF(H10=1,"Click here to enter an Authorized Company Representative's name","")</f>
        <v/>
      </c>
      <c r="E10" s="20" t="s">
        <v>1273</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8.25">
      <c r="A11" s="90" t="str">
        <f ca="1">Declaration!B20</f>
        <v>E-Mail-Adresse des Bevollmächtigten (*):</v>
      </c>
      <c r="B11" s="89" t="str">
        <f>Declaration!D20</f>
        <v>jochen.hilbert@rero-ag.ch</v>
      </c>
      <c r="C11" s="89" t="str">
        <f ca="1">IF(H11=1,J11,I11)</f>
        <v>Vollständig</v>
      </c>
      <c r="D11" s="95" t="str">
        <f>IF(H11=1,"Click here to enter Representative's email","")</f>
        <v/>
      </c>
      <c r="E11" s="20" t="s">
        <v>1273</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8.25">
      <c r="A12" s="90" t="str">
        <f ca="1">Declaration!B22</f>
        <v>Datum (*):</v>
      </c>
      <c r="B12" s="91">
        <f>Declaration!D22</f>
        <v>45800</v>
      </c>
      <c r="C12" s="89" t="str">
        <f ca="1">IF(H12=1,J12,I12)</f>
        <v>Vollständig</v>
      </c>
      <c r="D12" s="95" t="str">
        <f>IF(H12=1,"Click here to enter Date of Completion","")</f>
        <v/>
      </c>
      <c r="E12" s="20" t="s">
        <v>1273</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1.9">
      <c r="A13" s="89" t="str">
        <f ca="1">Declaration!B25</f>
        <v>1) Wird absichtlich ein 3TG-Mineral im Herstellungsprozess verwendet oder in das/die Produkt(e) aufgenommen? (*)</v>
      </c>
      <c r="B13" s="92"/>
      <c r="C13" s="92"/>
      <c r="D13" s="96"/>
      <c r="E13" s="20" t="s">
        <v>783</v>
      </c>
      <c r="F13" s="93"/>
      <c r="H13" s="19">
        <f t="shared" si="3"/>
        <v>0</v>
      </c>
    </row>
    <row r="14" spans="1:10" ht="25.9">
      <c r="A14" s="90" t="str">
        <f ca="1">Declaration!B26</f>
        <v xml:space="preserve">Tantal  </v>
      </c>
      <c r="B14" s="89" t="str">
        <f>Declaration!D26</f>
        <v>No</v>
      </c>
      <c r="C14" s="89" t="str">
        <f ca="1">IF(H14=1,J14,I14)</f>
        <v>Vollständig</v>
      </c>
      <c r="D14" s="95" t="str">
        <f>IF(H14=1,"Click here to answer question 1 for Tantalum","")</f>
        <v/>
      </c>
      <c r="E14" s="20" t="s">
        <v>779</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8.25">
      <c r="A15" s="90" t="str">
        <f ca="1">Declaration!B27</f>
        <v>Zinn  (*)</v>
      </c>
      <c r="B15" s="89" t="str">
        <f>Declaration!D27</f>
        <v>Yes</v>
      </c>
      <c r="C15" s="89" t="str">
        <f ca="1">IF(H15=1,J15,I15)</f>
        <v>Vollständig</v>
      </c>
      <c r="D15" s="95" t="str">
        <f>IF(H15=1,"Click here to answer question 1 for Tin","")</f>
        <v/>
      </c>
      <c r="E15" s="20" t="s">
        <v>780</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8.25">
      <c r="A16" s="90" t="str">
        <f ca="1">Declaration!B28</f>
        <v>Gold  (*)</v>
      </c>
      <c r="B16" s="89" t="str">
        <f>Declaration!D28</f>
        <v>Yes</v>
      </c>
      <c r="C16" s="89" t="str">
        <f ca="1">IF(H16=1,J16,I16)</f>
        <v>Vollständig</v>
      </c>
      <c r="D16" s="95" t="str">
        <f>IF(H16=1,"Click here to answer question 1 for Gold","")</f>
        <v/>
      </c>
      <c r="E16" s="20" t="s">
        <v>780</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8.25">
      <c r="A17" s="90" t="str">
        <f ca="1">Declaration!B29</f>
        <v xml:space="preserve">Wolfram  </v>
      </c>
      <c r="B17" s="89" t="str">
        <f>Declaration!D29</f>
        <v>No</v>
      </c>
      <c r="C17" s="89" t="str">
        <f ca="1">IF(H17=1,J17,I17)</f>
        <v>Vollständig</v>
      </c>
      <c r="D17" s="95" t="str">
        <f>IF(H17=1,"Click here to answer question 1 for Tungsten","")</f>
        <v/>
      </c>
      <c r="E17" s="20" t="s">
        <v>780</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49.5">
      <c r="A18" s="89" t="str">
        <f ca="1">Declaration!B31</f>
        <v>2) Liegen in dem/den Produkt(en) 3TG-Rückstände vor?  (*)</v>
      </c>
      <c r="B18" s="92"/>
      <c r="C18" s="92"/>
      <c r="D18" s="96"/>
      <c r="E18" s="20" t="s">
        <v>781</v>
      </c>
      <c r="F18" s="93"/>
      <c r="J18" s="148"/>
    </row>
    <row r="19" spans="1:10" ht="38.25">
      <c r="A19" s="90" t="str">
        <f ca="1">Declaration!B32</f>
        <v xml:space="preserve">Tantal  </v>
      </c>
      <c r="B19" s="89">
        <f>IF($B$14="Yes",Declaration!D32,0)</f>
        <v>0</v>
      </c>
      <c r="C19" s="89" t="str">
        <f ca="1">IF(H19=1,J19,I19)</f>
        <v>Vollständig</v>
      </c>
      <c r="D19" s="97" t="str">
        <f>IF(H19=1,"Click here to answer question 2 for Tantalum","")</f>
        <v/>
      </c>
      <c r="E19" s="20" t="s">
        <v>780</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8.25">
      <c r="A20" s="90" t="str">
        <f ca="1">Declaration!B33</f>
        <v>Zinn  (*)</v>
      </c>
      <c r="B20" s="89" t="str">
        <f>IF($B$15="Yes",Declaration!D33,0)</f>
        <v>Yes</v>
      </c>
      <c r="C20" s="89" t="str">
        <f ca="1">IF(H20=1,J20,I20)</f>
        <v>Vollständig</v>
      </c>
      <c r="D20" s="97" t="str">
        <f>IF(H20=1,"Click here to answer question 2 for Tin","")</f>
        <v/>
      </c>
      <c r="E20" s="20" t="s">
        <v>780</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8.25">
      <c r="A21" s="90" t="str">
        <f ca="1">Declaration!B34</f>
        <v>Gold  (*)</v>
      </c>
      <c r="B21" s="89" t="str">
        <f>IF($B$16="Yes",Declaration!D34,0)</f>
        <v>Yes</v>
      </c>
      <c r="C21" s="89" t="str">
        <f ca="1">IF(H21=1,J21,I21)</f>
        <v>Vollständig</v>
      </c>
      <c r="D21" s="97" t="str">
        <f>IF(H21=1,"Click here to answer question 2 for Gold","")</f>
        <v/>
      </c>
      <c r="E21" s="20" t="s">
        <v>780</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8.25">
      <c r="A22" s="90" t="str">
        <f ca="1">Declaration!B35</f>
        <v xml:space="preserve">Wolfram  </v>
      </c>
      <c r="B22" s="89">
        <f>IF($B$17="Yes",Declaration!D35,0)</f>
        <v>0</v>
      </c>
      <c r="C22" s="89" t="str">
        <f ca="1">IF(H22=1,J22,I22)</f>
        <v>Vollständig</v>
      </c>
      <c r="D22" s="97" t="str">
        <f>IF(H22=1,"Click here to answer question 2 for Tungsten","")</f>
        <v/>
      </c>
      <c r="E22" s="20" t="s">
        <v>780</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780</v>
      </c>
      <c r="F23" s="93"/>
      <c r="J23" s="148"/>
    </row>
    <row r="24" spans="1:10" ht="38.25">
      <c r="A24" s="90" t="str">
        <f ca="1">Declaration!B38</f>
        <v xml:space="preserve">Tantal  </v>
      </c>
      <c r="B24" s="89">
        <f>IF(AND($B$14="Yes",$B$19="Yes"),Declaration!D38,0)</f>
        <v>0</v>
      </c>
      <c r="C24" s="89" t="str">
        <f ca="1">IF(H24=1,J24,I24)</f>
        <v>Vollständig</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8.25">
      <c r="A25" s="90" t="str">
        <f ca="1">Declaration!B39</f>
        <v>Zinn  (*)</v>
      </c>
      <c r="B25" s="89" t="str">
        <f>IF(AND($B$15="Yes",$B$20="Yes"),Declaration!D39,0)</f>
        <v>No</v>
      </c>
      <c r="C25" s="89" t="str">
        <f ca="1">IF(H25=1,J25,I25)</f>
        <v>Vollständig</v>
      </c>
      <c r="D25" s="97" t="str">
        <f>IF(H25=1,"Click here to answer question 3 for Tin","")</f>
        <v/>
      </c>
      <c r="E25" s="20" t="s">
        <v>780</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8.25">
      <c r="A26" s="90" t="str">
        <f ca="1">Declaration!B40</f>
        <v>Gold  (*)</v>
      </c>
      <c r="B26" s="89" t="str">
        <f>IF(AND($B$16="Yes",$B$21="Yes"),Declaration!D40,0)</f>
        <v>No</v>
      </c>
      <c r="C26" s="89" t="str">
        <f ca="1">IF(H26=1,J26,I26)</f>
        <v>Vollständig</v>
      </c>
      <c r="D26" s="97" t="str">
        <f>IF(H26=1,"Click here to answer question 3 for Gold","")</f>
        <v/>
      </c>
      <c r="E26" s="20" t="s">
        <v>780</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8.25">
      <c r="A27" s="90" t="str">
        <f ca="1">Declaration!B41</f>
        <v xml:space="preserve">Wolfram  </v>
      </c>
      <c r="B27" s="89">
        <f>IF(AND($B$17="Yes",$B$22="Yes"),Declaration!D41,0)</f>
        <v>0</v>
      </c>
      <c r="C27" s="89" t="str">
        <f ca="1">IF(H27=1,J27,I27)</f>
        <v>Vollständig</v>
      </c>
      <c r="D27" s="97" t="str">
        <f>IF(H27=1,"Click here to answer question 3 for Tungsten","")</f>
        <v/>
      </c>
      <c r="E27" s="20" t="s">
        <v>780</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75" customHeight="1">
      <c r="A28" s="89" t="str">
        <f ca="1">Declaration!B43</f>
        <v>4) Beziehen Schmelzhütten in Ihrer Lieferkette ihre 3TG aus von Konflikten betroffenen und risikoreichen Gebieten? (*)</v>
      </c>
      <c r="B28" s="89"/>
      <c r="C28" s="89"/>
      <c r="D28" s="97"/>
      <c r="E28" s="20"/>
      <c r="F28" s="20"/>
      <c r="G28" s="20"/>
      <c r="I28" s="147"/>
    </row>
    <row r="29" spans="1:10" ht="41.25"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25" customHeight="1">
      <c r="A30" s="90" t="str">
        <f ca="1">Declaration!B45</f>
        <v>Zinn  (*)</v>
      </c>
      <c r="B30" s="89" t="str">
        <f>IF(AND($B$15="Yes",$B$20="Yes"),Declaration!D45,0)</f>
        <v>No</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25" customHeight="1">
      <c r="A31" s="90" t="str">
        <f ca="1">Declaration!B46</f>
        <v>Gold  (*)</v>
      </c>
      <c r="B31" s="89" t="str">
        <f>IF(AND($B$16="Yes",$B$21="Yes"),Declaration!D46,0)</f>
        <v>Yes</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25"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7.15">
      <c r="A33" s="89" t="str">
        <f ca="1">Declaration!B49</f>
        <v>5) Stammt das für die Funktionalität oder  Herstellung Ihrer Produkte benötigte 3TG-Mineral zu 100 % aus Recycling- oder Schrottquellen?  (*)</v>
      </c>
      <c r="B33" s="92"/>
      <c r="C33" s="92"/>
      <c r="D33" s="96"/>
      <c r="E33" s="20" t="s">
        <v>1273</v>
      </c>
      <c r="F33" s="93"/>
      <c r="J33" s="148"/>
    </row>
    <row r="34" spans="1:10" ht="38.25">
      <c r="A34" s="90" t="str">
        <f ca="1">Declaration!B50</f>
        <v xml:space="preserve">Tantal  </v>
      </c>
      <c r="B34" s="89">
        <f>IF(AND($B$14="Yes",$B$19="Yes"),Declaration!D50,0)</f>
        <v>0</v>
      </c>
      <c r="C34" s="89" t="str">
        <f ca="1">IF(H34=1,J34,I34)</f>
        <v>Vollständig</v>
      </c>
      <c r="D34" s="260" t="str">
        <f>IF(H34=1,"Click here to answer question 5 for Tantalum","")</f>
        <v/>
      </c>
      <c r="E34" s="20" t="s">
        <v>1273</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8.25">
      <c r="A35" s="90" t="str">
        <f ca="1">Declaration!B51</f>
        <v>Zinn  (*)</v>
      </c>
      <c r="B35" s="89" t="str">
        <f>IF(AND($B$15="Yes",$B$20="Yes"),Declaration!D51,0)</f>
        <v>No</v>
      </c>
      <c r="C35" s="89" t="str">
        <f ca="1">IF(H35=1,J35,I35)</f>
        <v>Vollständig</v>
      </c>
      <c r="D35" s="260" t="str">
        <f>IF(H35=1,"Click here to answer question 5 for Tin","")</f>
        <v/>
      </c>
      <c r="E35" s="20" t="s">
        <v>1273</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8.25">
      <c r="A36" s="90" t="str">
        <f ca="1">Declaration!B52</f>
        <v>Gold  (*)</v>
      </c>
      <c r="B36" s="89" t="str">
        <f>IF(AND($B$16="Yes",$B$21="Yes"),Declaration!D52,0)</f>
        <v>No</v>
      </c>
      <c r="C36" s="89" t="str">
        <f ca="1">IF(H36=1,J36,I36)</f>
        <v>Vollständig</v>
      </c>
      <c r="D36" s="260" t="str">
        <f>IF(H36=1,"Click here to answer question 5 for Gold","")</f>
        <v/>
      </c>
      <c r="E36" s="20" t="s">
        <v>1273</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8.25">
      <c r="A37" s="90" t="str">
        <f ca="1">Declaration!B53</f>
        <v xml:space="preserve">Wolfram  </v>
      </c>
      <c r="B37" s="89">
        <f>IF(AND($B$17="Yes",$B$22="Yes"),Declaration!D53,0)</f>
        <v>0</v>
      </c>
      <c r="C37" s="89" t="str">
        <f ca="1">IF(H37=1,J37,I37)</f>
        <v>Vollständig</v>
      </c>
      <c r="D37" s="260" t="str">
        <f>IF(H37=1,"Click here to answer question 5 for Tungsten","")</f>
        <v/>
      </c>
      <c r="E37" s="20" t="s">
        <v>1273</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7.15">
      <c r="A38" s="89" t="str">
        <f ca="1">Declaration!B55</f>
        <v>6) Wie hoch ist der Prozentsatz an Lieferanten, die auf Ihre Lieferkettenumfrage geantwortet haben? (*)</v>
      </c>
      <c r="B38" s="92"/>
      <c r="C38" s="92"/>
      <c r="D38" s="96"/>
      <c r="E38" s="20" t="s">
        <v>780</v>
      </c>
      <c r="F38" s="93"/>
    </row>
    <row r="39" spans="1:10" ht="25.9">
      <c r="A39" s="90" t="str">
        <f ca="1">Declaration!B56</f>
        <v xml:space="preserve">Tantal  </v>
      </c>
      <c r="B39" s="268">
        <f>IF(AND($B$14="Yes",$B$19="Yes"),Declaration!D56,0)</f>
        <v>0</v>
      </c>
      <c r="C39" s="89" t="str">
        <f ca="1">IF(H39=1,J39,I39)</f>
        <v>Vollständig</v>
      </c>
      <c r="D39" s="261" t="str">
        <f>IF(H39=1,"Click here to answer question 6 for Tantalum","")</f>
        <v/>
      </c>
      <c r="E39" s="20" t="s">
        <v>779</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5.9">
      <c r="A40" s="90" t="str">
        <f ca="1">Declaration!B57</f>
        <v>Zinn  (*)</v>
      </c>
      <c r="B40" s="268" t="str">
        <f>IF(AND($B$15="Yes",$B$20="Yes"),Declaration!D57,0)</f>
        <v>100%</v>
      </c>
      <c r="C40" s="89" t="str">
        <f ca="1">IF(H40=1,J40,I40)</f>
        <v>Vollständig</v>
      </c>
      <c r="D40" s="261" t="str">
        <f>IF(H40=1,"Click here to answer question 6 for Tin","")</f>
        <v/>
      </c>
      <c r="E40" s="20" t="s">
        <v>779</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5.9">
      <c r="A41" s="90" t="str">
        <f ca="1">Declaration!B58</f>
        <v>Gold  (*)</v>
      </c>
      <c r="B41" s="268" t="str">
        <f>IF(AND($B$16="Yes",$B$21="Yes"),Declaration!D58,0)</f>
        <v>100%</v>
      </c>
      <c r="C41" s="89" t="str">
        <f ca="1">IF(H41=1,J41,I41)</f>
        <v>Vollständig</v>
      </c>
      <c r="D41" s="261" t="str">
        <f>IF(H41=1,"Click here to answer question 6 for Gold","")</f>
        <v/>
      </c>
      <c r="E41" s="20" t="s">
        <v>779</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5.9">
      <c r="A42" s="90" t="str">
        <f ca="1">Declaration!B59</f>
        <v xml:space="preserve">Wolfram  </v>
      </c>
      <c r="B42" s="268">
        <f>IF(AND($B$17="Yes",$B$22="Yes"),Declaration!D59,0)</f>
        <v>0</v>
      </c>
      <c r="C42" s="89" t="str">
        <f ca="1">IF(H42=1,J42,I42)</f>
        <v>Vollständig</v>
      </c>
      <c r="D42" s="261" t="str">
        <f>IF(H42=1,"Click here to answer question 6 for Tungsten","")</f>
        <v/>
      </c>
      <c r="E42" s="20" t="s">
        <v>779</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49.5">
      <c r="A43" s="89" t="str">
        <f ca="1">Declaration!B61</f>
        <v>7) Haben Sie alle Schmelzhütten ermittelt, die das 3TG-Mineral für Ihre Lieferkette bereitstellen?  (*)</v>
      </c>
      <c r="B43" s="92"/>
      <c r="C43" s="92"/>
      <c r="D43" s="96"/>
      <c r="E43" s="20" t="s">
        <v>781</v>
      </c>
      <c r="F43" s="93"/>
    </row>
    <row r="44" spans="1:10" ht="50.65">
      <c r="A44" s="90" t="str">
        <f ca="1">Declaration!B62</f>
        <v xml:space="preserve">Tantal  </v>
      </c>
      <c r="B44" s="89">
        <f>IF(AND($B$14="Yes",$B$19="Yes"),Declaration!D62,0)</f>
        <v>0</v>
      </c>
      <c r="C44" s="89" t="str">
        <f ca="1">IF(H44=1,J44,I44)</f>
        <v>Vollständig</v>
      </c>
      <c r="D44" s="260" t="str">
        <f>IF(H44=1,"Click here to answer question 7 for Tantalum","")</f>
        <v/>
      </c>
      <c r="E44" s="20" t="s">
        <v>1269</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0.65">
      <c r="A45" s="90" t="str">
        <f ca="1">Declaration!B63</f>
        <v>Zinn  (*)</v>
      </c>
      <c r="B45" s="89" t="str">
        <f>IF(AND($B$15="Yes",$B$20="Yes"),Declaration!D63,0)</f>
        <v>Yes</v>
      </c>
      <c r="C45" s="89" t="str">
        <f ca="1">IF(H45=1,J45,I45)</f>
        <v>Vollständig</v>
      </c>
      <c r="D45" s="260" t="str">
        <f>IF(H45=1,"Click here to answer question 7 for Tin","")</f>
        <v/>
      </c>
      <c r="E45" s="20" t="s">
        <v>1269</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0.65">
      <c r="A46" s="90" t="str">
        <f ca="1">Declaration!B64</f>
        <v>Gold  (*)</v>
      </c>
      <c r="B46" s="89" t="str">
        <f>IF(AND($B$16="Yes",$B$21="Yes"),Declaration!D64,0)</f>
        <v>Yes</v>
      </c>
      <c r="C46" s="89" t="str">
        <f ca="1">IF(H46=1,J46,I46)</f>
        <v>Vollständig</v>
      </c>
      <c r="D46" s="260" t="str">
        <f>IF(H46=1,"Click here to answer question 7 for Gold","")</f>
        <v/>
      </c>
      <c r="E46" s="20" t="s">
        <v>1269</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0.65">
      <c r="A47" s="90" t="str">
        <f ca="1">Declaration!B65</f>
        <v xml:space="preserve">Wolfram  </v>
      </c>
      <c r="B47" s="89">
        <f>IF(AND($B$17="Yes",$B$22="Yes"),Declaration!D65,0)</f>
        <v>0</v>
      </c>
      <c r="C47" s="89" t="str">
        <f ca="1">IF(H47=1,J47,I47)</f>
        <v>Vollständig</v>
      </c>
      <c r="D47" s="260" t="str">
        <f>IF(H47=1,"Click here to answer question 7 for Tungsten","")</f>
        <v/>
      </c>
      <c r="E47" s="20" t="s">
        <v>1269</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1.9">
      <c r="A48" s="89" t="str">
        <f ca="1">Declaration!B67</f>
        <v>8) Haben Sie alle relevanten Informationen, die Ihr Unternehmen zu den Schmelzhütten erhalten hat, in dieser Erklärung aufgeführt?  (*)</v>
      </c>
      <c r="B48" s="92"/>
      <c r="C48" s="92"/>
      <c r="D48" s="96"/>
      <c r="E48" s="20" t="s">
        <v>782</v>
      </c>
      <c r="F48" s="93"/>
    </row>
    <row r="49" spans="1:10" ht="38.25">
      <c r="A49" s="90" t="str">
        <f ca="1">Declaration!B68</f>
        <v xml:space="preserve">Tantal  </v>
      </c>
      <c r="B49" s="89">
        <f>IF(AND($B$14="Yes",$B$19="Yes"),Declaration!D68,0)</f>
        <v>0</v>
      </c>
      <c r="C49" s="89" t="str">
        <f ca="1">IF(H49=1,J49,I49)</f>
        <v>Vollständig</v>
      </c>
      <c r="D49" s="261" t="str">
        <f>IF(H49=1,"Click here to answer question 8 for Tantalum","")</f>
        <v/>
      </c>
      <c r="E49" s="20" t="s">
        <v>780</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8.25">
      <c r="A50" s="90" t="str">
        <f ca="1">Declaration!B69</f>
        <v>Zinn  (*)</v>
      </c>
      <c r="B50" s="89" t="str">
        <f>IF(AND($B$15="Yes",$B$20="Yes"),Declaration!D69,0)</f>
        <v>Yes</v>
      </c>
      <c r="C50" s="89" t="str">
        <f ca="1">IF(H50=1,J50,I50)</f>
        <v>Vollständig</v>
      </c>
      <c r="D50" s="261" t="str">
        <f>IF(H50=1,"Click here to answer question 8 for Tin","")</f>
        <v/>
      </c>
      <c r="E50" s="20" t="s">
        <v>780</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8.25">
      <c r="A51" s="90" t="str">
        <f ca="1">Declaration!B70</f>
        <v>Gold  (*)</v>
      </c>
      <c r="B51" s="89" t="str">
        <f>IF(AND($B$16="Yes",$B$21="Yes"),Declaration!D70,0)</f>
        <v>Yes</v>
      </c>
      <c r="C51" s="89" t="str">
        <f ca="1">IF(H51=1,J51,I51)</f>
        <v>Vollständig</v>
      </c>
      <c r="D51" s="261" t="str">
        <f>IF(H51=1,"Click here to answer question 8 for Gold","")</f>
        <v/>
      </c>
      <c r="E51" s="20" t="s">
        <v>780</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8.25">
      <c r="A52" s="90" t="str">
        <f ca="1">Declaration!B71</f>
        <v xml:space="preserve">Wolfram  </v>
      </c>
      <c r="B52" s="89">
        <f>IF(AND($B$17="Yes",$B$22="Yes"),Declaration!D71,0)</f>
        <v>0</v>
      </c>
      <c r="C52" s="89" t="str">
        <f ca="1">IF(H52=1,J52,I52)</f>
        <v>Vollständig</v>
      </c>
      <c r="D52" s="261" t="str">
        <f>IF(H52=1,"Click here to answer question 8 for Tungsten","")</f>
        <v/>
      </c>
      <c r="E52" s="20" t="s">
        <v>780</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4.75">
      <c r="A53" s="89" t="str">
        <f ca="1">Declaration!B74</f>
        <v>Frage</v>
      </c>
      <c r="B53" s="92"/>
      <c r="C53" s="92"/>
      <c r="D53" s="96"/>
      <c r="E53" s="20" t="s">
        <v>428</v>
      </c>
      <c r="F53" s="93"/>
      <c r="G53" s="93"/>
      <c r="H53" s="93"/>
    </row>
    <row r="54" spans="1:10" ht="38.25">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1273</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1273</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549999999999997" customHeight="1">
      <c r="A56" s="89" t="s">
        <v>3</v>
      </c>
      <c r="B56" s="89" t="str">
        <f>Declaration!G77</f>
        <v>https://metalor.com/corporate-social-responsibility/dodd-frank-conflict-minerals/
https://www.ampere.com/en/konfliktminerale/
https://rero-ag.ch/downloads</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49.5">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1273</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8.25">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1273</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8.25">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1273</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38.25">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1273</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4.25" hidden="1">
      <c r="A61" s="89"/>
      <c r="B61" s="89"/>
      <c r="C61" s="89"/>
      <c r="D61" s="95"/>
      <c r="E61" s="20"/>
      <c r="F61" s="94"/>
      <c r="G61" s="70"/>
      <c r="H61" s="71"/>
      <c r="I61" s="147"/>
    </row>
    <row r="62" spans="1:10" ht="38.25">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1273</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8.25">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1273</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8.25">
      <c r="A64" s="89" t="s">
        <v>1266</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8.25">
      <c r="A65" s="89" t="s">
        <v>14996</v>
      </c>
      <c r="B65" s="89"/>
      <c r="C65" s="89" t="str">
        <f t="shared" ca="1" si="13"/>
        <v>Vollständig</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8.25">
      <c r="A66" s="89" t="s">
        <v>1806</v>
      </c>
      <c r="B66" s="89"/>
      <c r="C66" s="89" t="str">
        <f t="shared" ca="1" si="13"/>
        <v>Vollständig</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8.25">
      <c r="A67" s="89" t="s">
        <v>1807</v>
      </c>
      <c r="B67" s="89"/>
      <c r="C67" s="89" t="str">
        <f t="shared" ca="1" si="13"/>
        <v>Vollständig</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8.25">
      <c r="A68" s="89" t="s">
        <v>1808</v>
      </c>
      <c r="B68" s="89"/>
      <c r="C68" s="89" t="str">
        <f t="shared" ca="1" si="13"/>
        <v>Vollständig</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4.7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2303</v>
      </c>
      <c r="K69" s="154"/>
      <c r="L69" s="19" t="s">
        <v>2304</v>
      </c>
    </row>
    <row r="70" spans="1:12">
      <c r="H70" s="19">
        <f ca="1">SUM(H4:H69)</f>
        <v>0</v>
      </c>
    </row>
    <row r="73" spans="1:12" ht="12.7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203125" defaultRowHeight="12.4"/>
  <cols>
    <col min="1" max="1" width="3.17578125" style="277" customWidth="1"/>
    <col min="2" max="2" width="39.8203125" style="280" customWidth="1"/>
    <col min="3" max="3" width="39.8203125" style="277" customWidth="1"/>
    <col min="4" max="4" width="58.8203125" style="277" customWidth="1"/>
    <col min="5" max="5" width="1.52734375" style="277" customWidth="1"/>
    <col min="6" max="6" width="9" style="277" customWidth="1"/>
    <col min="7" max="16384" width="8.8203125" style="278"/>
  </cols>
  <sheetData>
    <row r="1" spans="1:6" s="21" customFormat="1" ht="35.25"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ht="12.75">
      <c r="A2" s="23"/>
      <c r="B2" s="120"/>
      <c r="C2" s="120"/>
      <c r="D2"/>
      <c r="E2" s="24"/>
      <c r="F2"/>
    </row>
    <row r="3" spans="1:6" s="21" customFormat="1" ht="12.75">
      <c r="A3" s="23"/>
      <c r="B3" s="120"/>
      <c r="C3" s="120"/>
      <c r="D3" s="120"/>
      <c r="E3" s="24"/>
      <c r="F3"/>
    </row>
    <row r="4" spans="1:6" s="21" customFormat="1" ht="15.75" customHeight="1">
      <c r="A4" s="23"/>
      <c r="B4" s="393" t="s">
        <v>869</v>
      </c>
      <c r="C4" s="393"/>
      <c r="D4" s="393"/>
      <c r="E4" s="24"/>
      <c r="F4"/>
    </row>
    <row r="5" spans="1:6" s="21" customFormat="1" ht="30">
      <c r="A5" s="131"/>
      <c r="B5" s="132" t="str">
        <f ca="1">OFFSET(L!$C$1,MATCH("Product List"&amp;ADDRESS(ROW(),COLUMN(),4),L!$A:$A,0)-1,SL,,)</f>
        <v>Produkt- oder Artikelnummer des Befragten (*)</v>
      </c>
      <c r="C5" s="132" t="str">
        <f ca="1">OFFSET(L!$C$1,MATCH("Product List"&amp;ADDRESS(ROW(),COLUMN(),4),L!$A:$A,0)-1,SL,,)</f>
        <v>Produkt- oder Artikelbeschreibung des Befragten</v>
      </c>
      <c r="D5" s="72" t="str">
        <f ca="1">OFFSET(L!$C$1,MATCH("Product List"&amp;ADDRESS(ROW(),COLUMN(),4),L!$A:$A,0)-1,SL,,)</f>
        <v>Kommentare</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5" customHeight="1" thickBot="1">
      <c r="A2006" s="130"/>
      <c r="B2006" s="396" t="str">
        <f ca="1">OFFSET(L!$C$1,MATCH("General"&amp;"Cpy",L!$A:$A,0)-1,SL,,)</f>
        <v>© 2025 Responsible Minerals Initiative. All rights reserved.</v>
      </c>
      <c r="C2006" s="396"/>
      <c r="D2006" s="396"/>
      <c r="E2006" s="279"/>
    </row>
    <row r="2007" spans="1:5" ht="12.7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203125" defaultRowHeight="12.4"/>
  <cols>
    <col min="1" max="1" width="9.17578125" style="189" bestFit="1" customWidth="1"/>
    <col min="2" max="2" width="42.8203125" style="189" customWidth="1"/>
    <col min="3" max="3" width="63.8203125" style="189" customWidth="1"/>
    <col min="4" max="4" width="25.52734375" style="189" customWidth="1"/>
    <col min="5" max="5" width="12.52734375" style="189" customWidth="1"/>
    <col min="6" max="6" width="12.52734375" style="190" customWidth="1"/>
    <col min="7" max="7" width="15.3515625" style="189" customWidth="1"/>
    <col min="8" max="8" width="23.8203125" style="189" customWidth="1"/>
    <col min="9" max="9" width="28.17578125" style="189" customWidth="1"/>
    <col min="10" max="10" width="48.29296875" style="189" hidden="1" customWidth="1"/>
    <col min="11" max="11" width="49.703125" style="189" hidden="1" customWidth="1"/>
    <col min="12" max="16384" width="8.8203125" style="189"/>
  </cols>
  <sheetData>
    <row r="1" spans="1:11" ht="168.75"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9.5">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203125" defaultRowHeight="13.5"/>
  <cols>
    <col min="1" max="1" width="14.52734375" style="155" customWidth="1"/>
    <col min="2" max="2" width="14" style="155" customWidth="1"/>
    <col min="3" max="3" width="6.17578125" style="155" customWidth="1"/>
    <col min="4" max="4" width="56.29296875" style="155" customWidth="1"/>
    <col min="5" max="5" width="53.703125" style="233" customWidth="1"/>
    <col min="6" max="6" width="54.17578125" style="155" customWidth="1"/>
    <col min="7" max="7" width="68.29296875" style="155" customWidth="1"/>
    <col min="8" max="8" width="49.29296875" style="155" customWidth="1"/>
    <col min="9" max="9" width="51.52734375" style="155" customWidth="1"/>
    <col min="10" max="10" width="50.29296875" style="155" customWidth="1"/>
    <col min="11" max="11" width="51.8203125" customWidth="1"/>
    <col min="12" max="12" width="66.8203125" style="256" customWidth="1"/>
    <col min="13" max="13" width="46.17578125" style="109" customWidth="1"/>
    <col min="14" max="15" width="8.8203125" style="109" customWidth="1"/>
    <col min="16" max="16384" width="8.82031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1.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70.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0.4">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3.1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4">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4">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99.7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199.5">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5.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5.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5.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48.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08">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2.7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2.7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49.5">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4">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3.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02.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2.7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2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9.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1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1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1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49.5">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1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5">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2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7">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7">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7">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4">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4">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4">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Jochen Hilbert</cp:lastModifiedBy>
  <cp:lastPrinted>2015-04-21T20:47:43Z</cp:lastPrinted>
  <dcterms:created xsi:type="dcterms:W3CDTF">2010-06-21T21:00:23Z</dcterms:created>
  <dcterms:modified xsi:type="dcterms:W3CDTF">2025-05-23T07:52:13Z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