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P:\700 QMS\in-Bearbeitung-QM\"/>
    </mc:Choice>
  </mc:AlternateContent>
  <xr:revisionPtr revIDLastSave="0" documentId="13_ncr:1_{FEC0D24A-7F4A-45CD-96F2-25DFBA28C5F0}"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486" yWindow="-12446" windowWidth="29692" windowHeight="11829" tabRatio="789" activeTab="4"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c r="B12" i="5"/>
  <c r="T12" i="5"/>
  <c r="S12" i="5"/>
  <c r="R12" i="5"/>
  <c r="J12" i="5"/>
  <c r="I12" i="5"/>
  <c r="H12" i="5"/>
  <c r="G12" i="5"/>
  <c r="F12" i="5"/>
  <c r="C11" i="5"/>
  <c r="AB11" i="5"/>
  <c r="V11" i="5"/>
  <c r="E11" i="5"/>
  <c r="X11" i="5"/>
  <c r="B11" i="5"/>
  <c r="T11" i="5"/>
  <c r="S11" i="5"/>
  <c r="R11" i="5"/>
  <c r="J11" i="5"/>
  <c r="I11" i="5"/>
  <c r="H11" i="5"/>
  <c r="G11" i="5"/>
  <c r="F11" i="5"/>
  <c r="C10" i="5"/>
  <c r="AB10" i="5"/>
  <c r="V10" i="5"/>
  <c r="E10" i="5"/>
  <c r="X10" i="5"/>
  <c r="B10" i="5"/>
  <c r="T10" i="5"/>
  <c r="S10" i="5"/>
  <c r="R10" i="5"/>
  <c r="J10" i="5"/>
  <c r="I10" i="5"/>
  <c r="H10" i="5"/>
  <c r="G10" i="5"/>
  <c r="F10" i="5"/>
  <c r="C9" i="5"/>
  <c r="AB9" i="5"/>
  <c r="V9" i="5"/>
  <c r="E9" i="5"/>
  <c r="X9" i="5"/>
  <c r="B9" i="5"/>
  <c r="T9" i="5"/>
  <c r="S9" i="5"/>
  <c r="R9" i="5"/>
  <c r="J9" i="5"/>
  <c r="I9" i="5"/>
  <c r="H9" i="5"/>
  <c r="G9" i="5"/>
  <c r="F9" i="5"/>
  <c r="C8" i="5"/>
  <c r="AB8" i="5"/>
  <c r="V8" i="5"/>
  <c r="E8" i="5"/>
  <c r="X8" i="5"/>
  <c r="B8" i="5"/>
  <c r="T8" i="5"/>
  <c r="S8" i="5"/>
  <c r="R8" i="5"/>
  <c r="J8" i="5"/>
  <c r="I8" i="5"/>
  <c r="H8" i="5"/>
  <c r="G8" i="5"/>
  <c r="F8" i="5"/>
  <c r="C7" i="5"/>
  <c r="AB7" i="5"/>
  <c r="V7" i="5"/>
  <c r="E7" i="5"/>
  <c r="X7" i="5"/>
  <c r="B7" i="5"/>
  <c r="T7" i="5"/>
  <c r="S7" i="5"/>
  <c r="R7" i="5"/>
  <c r="J7" i="5"/>
  <c r="I7" i="5"/>
  <c r="H7" i="5"/>
  <c r="G7" i="5"/>
  <c r="F7" i="5"/>
  <c r="C6" i="5"/>
  <c r="AB6" i="5"/>
  <c r="V6" i="5"/>
  <c r="E6" i="5"/>
  <c r="X6" i="5"/>
  <c r="B6" i="5"/>
  <c r="T6" i="5"/>
  <c r="S6" i="5"/>
  <c r="R6" i="5"/>
  <c r="J6" i="5"/>
  <c r="I6" i="5"/>
  <c r="H6" i="5"/>
  <c r="G6" i="5"/>
  <c r="F6" i="5"/>
  <c r="AB5" i="5"/>
  <c r="V5" i="5"/>
  <c r="E5" i="5"/>
  <c r="X5" i="5"/>
  <c r="J5" i="5"/>
  <c r="S5" i="5"/>
  <c r="T5" i="5"/>
  <c r="R5" i="5"/>
  <c r="I5" i="5"/>
  <c r="H5" i="5"/>
  <c r="G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B13" i="5"/>
  <c r="V13" i="5"/>
  <c r="E13" i="5"/>
  <c r="B14" i="5"/>
  <c r="V14" i="5"/>
  <c r="E14" i="5"/>
  <c r="B15" i="5"/>
  <c r="V15" i="5"/>
  <c r="E15" i="5"/>
  <c r="B16" i="5"/>
  <c r="V16" i="5"/>
  <c r="E16" i="5"/>
  <c r="B17" i="5"/>
  <c r="V17" i="5"/>
  <c r="E17"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<sst xmlns="http://schemas.openxmlformats.org/spreadsheetml/2006/main" count="27979" uniqueCount="20064">
  <si>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</si>
  <si>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</si>
  <si>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</si>
  <si>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</si>
  <si>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</si>
  <si>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</si>
  <si>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</si>
  <si>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</si>
  <si>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</si>
  <si>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</si>
  <si>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</si>
  <si>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</si>
  <si>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</si>
  <si>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</si>
  <si>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</si>
  <si>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</si>
  <si>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</si>
  <si>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</si>
  <si>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</si>
  <si>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</si>
  <si>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</si>
  <si>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</si>
  <si>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</si>
  <si>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</si>
  <si>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</si>
  <si>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</si>
  <si>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</si>
  <si>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</si>
  <si>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</si>
  <si>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</si>
  <si>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</si>
  <si>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</si>
  <si>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</si>
  <si>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</si>
  <si>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</si>
  <si>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</si>
  <si>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</si>
  <si>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</si>
  <si>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</si>
  <si>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</si>
  <si>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</si>
  <si>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</si>
  <si>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</si>
  <si>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</si>
  <si>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</si>
  <si>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</si>
  <si>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</si>
  <si>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</si>
  <si>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</si>
  <si>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</si>
  <si>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</si>
  <si>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</si>
  <si>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</si>
  <si>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</si>
  <si>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</si>
  <si>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</si>
  <si>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</si>
  <si>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</si>
  <si>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</si>
  <si>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</si>
  <si>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</si>
  <si>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</si>
  <si>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</si>
  <si>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</si>
  <si>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</si>
  <si>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</si>
  <si>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</si>
  <si>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</si>
  <si>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</si>
  <si>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</si>
  <si>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</si>
  <si>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</si>
  <si>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</si>
  <si>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</si>
  <si>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</si>
  <si>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</si>
  <si>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</si>
  <si>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</si>
  <si>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</si>
  <si>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</si>
  <si>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</si>
  <si>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</si>
  <si>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</si>
  <si>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</si>
  <si>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</si>
  <si>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</si>
  <si>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</si>
  <si>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</si>
  <si>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</si>
  <si>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</si>
  <si>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</si>
  <si>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</si>
  <si>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</si>
  <si>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</si>
  <si>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</si>
  <si>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</si>
  <si>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</si>
  <si>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</si>
  <si>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</si>
  <si>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</si>
  <si>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</si>
  <si>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</si>
  <si>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</si>
  <si>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</si>
  <si>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</si>
  <si>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</si>
  <si>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</si>
  <si>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</si>
  <si>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</si>
  <si>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</si>
  <si>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</si>
  <si>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</si>
  <si>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</si>
  <si>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</si>
  <si>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</si>
  <si>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</si>
  <si>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</si>
  <si>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</si>
  <si>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</si>
  <si>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</si>
  <si>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</si>
  <si>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</si>
  <si>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</si>
  <si>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</si>
  <si>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</si>
  <si>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</si>
  <si>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</si>
  <si>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</si>
  <si>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</si>
  <si>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</si>
  <si>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</si>
  <si>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</si>
  <si>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</si>
  <si>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</si>
  <si>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</si>
  <si>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</si>
  <si>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</si>
  <si>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</si>
  <si>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</si>
  <si>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</si>
  <si>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</si>
  <si>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</si>
  <si>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</si>
  <si>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</si>
  <si>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</si>
  <si>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</si>
  <si>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</si>
  <si>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</si>
  <si>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</si>
  <si>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</si>
  <si>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</si>
  <si>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</si>
  <si>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</si>
  <si>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</si>
  <si>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</si>
  <si>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</si>
  <si>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</si>
  <si>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</si>
  <si>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</si>
  <si>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</si>
  <si>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</si>
  <si>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</si>
  <si>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</si>
  <si>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</si>
  <si>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</si>
  <si>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</si>
  <si>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</si>
  <si>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</si>
  <si>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</si>
  <si>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</si>
  <si>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</si>
  <si>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</si>
  <si>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</si>
  <si>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</si>
  <si>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</si>
  <si>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</si>
  <si>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</si>
  <si>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</si>
  <si>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</si>
  <si>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</si>
  <si>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</si>
  <si>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</si>
  <si>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</si>
  <si>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</si>
  <si>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</si>
  <si>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</si>
  <si>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</si>
  <si>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</si>
  <si>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</si>
  <si>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</si>
  <si>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</si>
  <si>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</si>
  <si>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</si>
  <si>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</si>
  <si>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</si>
  <si>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</si>
  <si>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</si>
  <si>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</si>
  <si>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</si>
  <si>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</si>
  <si>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</si>
  <si>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</si>
  <si>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</si>
  <si>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</si>
  <si>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</si>
  <si>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</si>
  <si>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</si>
  <si>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</si>
  <si>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</si>
  <si>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</si>
  <si>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</si>
  <si>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</si>
  <si>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</si>
  <si>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</si>
  <si>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</si>
  <si>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</si>
  <si>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</si>
  <si>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</si>
  <si>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</si>
  <si>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</si>
  <si>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</si>
  <si>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</si>
  <si>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</si>
  <si>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</si>
  <si>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</si>
  <si>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</si>
  <si>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</si>
  <si>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</si>
  <si>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</si>
  <si>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</si>
  <si>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</si>
  <si>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</si>
  <si>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</si>
  <si>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</si>
  <si>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</si>
  <si>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</si>
  <si>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</si>
  <si>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</si>
  <si>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</si>
  <si>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</si>
  <si>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</si>
  <si>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</si>
  <si>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</si>
  <si>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</si>
  <si>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</si>
  <si>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</si>
  <si>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</si>
  <si>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</si>
  <si>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</si>
  <si>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</si>
  <si>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</si>
  <si>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</si>
  <si>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</si>
  <si>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</si>
  <si>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</si>
  <si>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</si>
  <si>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</si>
  <si>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</si>
  <si>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</si>
  <si>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</si>
  <si>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</si>
  <si>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</si>
  <si>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</si>
  <si>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</si>
  <si>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</si>
  <si>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</si>
  <si>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</si>
  <si>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</si>
  <si>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</si>
  <si>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</si>
  <si>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</si>
  <si>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</si>
  <si>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</si>
  <si>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</si>
  <si>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</si>
  <si>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</si>
  <si>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</si>
  <si>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</si>
  <si>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</si>
  <si>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</si>
  <si>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</si>
  <si>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</si>
  <si>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</si>
  <si>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</si>
  <si>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</si>
  <si>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</si>
  <si>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</si>
  <si>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</si>
  <si>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</si>
  <si>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</si>
  <si>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</si>
  <si>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</si>
  <si>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</si>
  <si>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</si>
  <si>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</si>
  <si>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</si>
  <si>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</si>
  <si>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</si>
  <si>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</si>
  <si>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</si>
  <si>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</si>
  <si>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</si>
  <si>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</si>
  <si>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</si>
  <si>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</si>
  <si>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</si>
  <si>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</si>
  <si>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</si>
  <si>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</si>
  <si>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</si>
  <si>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</si>
  <si>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</si>
  <si>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</si>
  <si>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</si>
  <si>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</si>
  <si>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</si>
  <si>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</si>
  <si>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</si>
  <si>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</si>
  <si>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</si>
  <si>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</si>
  <si>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</si>
  <si>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</si>
  <si>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</si>
  <si>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</si>
  <si>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</si>
  <si>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</si>
  <si>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</si>
  <si>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</si>
  <si>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</si>
  <si>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</si>
  <si>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</si>
  <si>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</si>
  <si>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</si>
  <si>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</si>
  <si>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</si>
  <si>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</si>
  <si>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</si>
  <si>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</si>
  <si>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</si>
  <si>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</si>
  <si>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</si>
  <si>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</si>
  <si>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</si>
  <si>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</si>
  <si>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</si>
  <si>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</si>
  <si>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</si>
  <si>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</si>
  <si>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</si>
  <si>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</si>
  <si>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</si>
  <si>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</si>
  <si>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</si>
  <si>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</si>
  <si>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</si>
  <si>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</si>
  <si>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</si>
  <si>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</si>
  <si>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</si>
  <si>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</si>
  <si>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</si>
  <si>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</si>
  <si>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</si>
  <si>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</si>
  <si>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</si>
  <si>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</si>
  <si>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</si>
  <si>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</si>
  <si>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</si>
  <si>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</si>
  <si>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</si>
  <si>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</si>
  <si>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</si>
  <si>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</si>
  <si>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</si>
  <si>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</si>
  <si>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</si>
  <si>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</si>
  <si>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</si>
  <si>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</si>
  <si>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</si>
  <si>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</si>
  <si>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</si>
  <si>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</si>
  <si>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</si>
  <si>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</si>
  <si>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</si>
  <si>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</si>
  <si>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</si>
  <si>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</si>
  <si>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</si>
  <si>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</si>
  <si>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</si>
  <si>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</si>
  <si>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</si>
  <si>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</si>
  <si>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</si>
  <si>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</si>
  <si>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</si>
  <si>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</si>
  <si>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</si>
  <si>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</si>
  <si>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</si>
  <si>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</si>
  <si>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</si>
  <si>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</si>
  <si>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</si>
  <si>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</si>
  <si>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</si>
  <si>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</si>
  <si>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</si>
  <si>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</si>
  <si>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</si>
  <si>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</si>
  <si>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</si>
  <si>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</si>
  <si>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</si>
  <si>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</si>
  <si>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</si>
  <si>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</si>
  <si>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</si>
  <si>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</si>
  <si>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</si>
  <si>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</si>
  <si>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</si>
  <si>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</si>
  <si>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</si>
  <si>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</si>
  <si>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</si>
  <si>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</si>
  <si>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</si>
  <si>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</si>
  <si>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</si>
  <si>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</si>
  <si>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</si>
  <si>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</si>
  <si>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</si>
  <si>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</si>
  <si>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</si>
  <si>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</si>
  <si>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</si>
  <si>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</si>
  <si>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</si>
  <si>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</si>
  <si>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</si>
  <si>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</si>
  <si>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</si>
  <si>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</si>
  <si>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</si>
  <si>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</si>
  <si>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</si>
  <si>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</si>
  <si>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</si>
  <si>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</si>
  <si>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</si>
  <si>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</si>
  <si>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</si>
  <si>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</si>
  <si>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</si>
  <si>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</si>
  <si>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</si>
  <si>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</si>
  <si>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</si>
  <si>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</si>
  <si>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</si>
  <si>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</si>
  <si>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</si>
  <si>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</si>
  <si>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</si>
  <si>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</si>
  <si>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</si>
  <si>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</si>
  <si>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</si>
  <si>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</si>
  <si>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</si>
  <si>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</si>
  <si>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</si>
  <si>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</si>
  <si>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</si>
  <si>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</si>
  <si>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</si>
  <si>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</si>
  <si>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</si>
  <si>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</si>
  <si>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</si>
  <si>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</si>
  <si>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</si>
  <si>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</si>
  <si>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</si>
  <si>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</si>
  <si>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</si>
  <si>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</si>
  <si>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</si>
  <si>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</si>
  <si>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</si>
  <si>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</si>
  <si>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</si>
  <si>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</si>
  <si>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</si>
  <si>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</si>
  <si>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</si>
  <si>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</si>
  <si>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</si>
  <si>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</si>
  <si>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</si>
  <si>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</si>
  <si>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</si>
  <si>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</si>
  <si>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</si>
  <si>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</si>
  <si>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</si>
  <si>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</si>
  <si>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</si>
  <si>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</si>
  <si>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</si>
  <si>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</si>
  <si>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</si>
  <si>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</si>
  <si>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</si>
  <si>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</si>
  <si>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</si>
  <si>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</si>
  <si>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</si>
  <si>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</si>
  <si>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</si>
  <si>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</si>
  <si>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</si>
  <si>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</si>
  <si>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</si>
  <si>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</si>
  <si>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</si>
  <si>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</si>
  <si>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</si>
  <si>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</si>
  <si>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</si>
  <si>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</si>
  <si>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</si>
  <si>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</si>
  <si>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</si>
  <si>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</si>
  <si>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</si>
  <si>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</si>
  <si>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</si>
  <si>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</si>
  <si>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</si>
  <si>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</si>
  <si>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</si>
  <si>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</si>
  <si>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</si>
  <si>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</si>
  <si>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</si>
  <si>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</si>
  <si>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</si>
  <si>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</si>
  <si>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</si>
  <si>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</si>
  <si>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</si>
  <si>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</si>
  <si>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</si>
  <si>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</si>
  <si>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</si>
  <si>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</si>
  <si>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</si>
  <si>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</si>
  <si>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</si>
  <si>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</si>
  <si>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</si>
  <si>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</si>
  <si>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</si>
  <si>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</si>
  <si>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</si>
  <si>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</si>
  <si>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</si>
  <si>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</si>
  <si>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</si>
  <si>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</si>
  <si>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</si>
  <si>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</si>
  <si>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</si>
  <si>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</si>
  <si>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</si>
  <si>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</si>
  <si>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</si>
  <si>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</si>
  <si>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</si>
  <si>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</si>
  <si>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</si>
  <si>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</si>
  <si>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</si>
  <si>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</si>
  <si>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</si>
  <si>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</si>
  <si>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</si>
  <si>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</si>
  <si>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</si>
  <si>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</si>
  <si>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</si>
  <si>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</si>
  <si>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</si>
  <si>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</si>
  <si>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</si>
  <si>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</si>
  <si>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</si>
  <si>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</si>
  <si>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</si>
  <si>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</si>
  <si>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</si>
  <si>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</si>
  <si>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</si>
  <si>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</si>
  <si>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</si>
  <si>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</si>
  <si>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</si>
  <si>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</si>
  <si>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</si>
  <si>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</si>
  <si>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</si>
  <si>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</si>
  <si>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</si>
  <si>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</si>
  <si>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</si>
  <si>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</si>
  <si>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</si>
  <si>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</si>
  <si>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</si>
  <si>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</si>
  <si>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</si>
  <si>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</si>
  <si>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</si>
  <si>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</si>
  <si>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</si>
  <si>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</si>
  <si>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</si>
  <si>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</si>
  <si>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</si>
  <si>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</si>
  <si>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</si>
  <si>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</si>
  <si>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</si>
  <si>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</si>
  <si>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</si>
  <si>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</si>
  <si>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</si>
  <si>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</si>
  <si>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</si>
  <si>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</si>
  <si>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</si>
  <si>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</si>
  <si>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</si>
  <si>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</si>
  <si>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</si>
  <si>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</si>
  <si>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</si>
  <si>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</si>
  <si>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</si>
  <si>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</si>
  <si>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</si>
  <si>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</si>
  <si>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</si>
  <si>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</si>
  <si>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</si>
  <si>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</si>
  <si>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</si>
  <si>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</si>
  <si>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</si>
  <si>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</si>
  <si>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</si>
  <si>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</si>
  <si>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</si>
  <si>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</si>
  <si>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</si>
  <si>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</si>
  <si>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</si>
  <si>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</si>
  <si>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</si>
  <si>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</si>
  <si>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</si>
  <si>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</si>
  <si>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</si>
  <si>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</si>
  <si>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</si>
  <si>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</si>
  <si>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</si>
  <si>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</si>
  <si>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</si>
  <si>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</si>
  <si>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</si>
  <si>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</si>
  <si>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</si>
  <si>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</si>
  <si>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</si>
  <si>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</si>
  <si>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</si>
  <si>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</si>
  <si>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</si>
  <si>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</si>
  <si>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</si>
  <si>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</si>
  <si>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</si>
  <si>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</si>
  <si>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</si>
  <si>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</si>
  <si>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</si>
  <si>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</si>
  <si>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</si>
  <si>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</si>
  <si>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</si>
  <si>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</si>
  <si>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</si>
  <si>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</si>
  <si>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</si>
  <si>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</si>
  <si>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</si>
  <si>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</si>
  <si>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</si>
  <si>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</si>
  <si>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</si>
  <si>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</si>
  <si>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</si>
  <si>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</si>
  <si>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</si>
  <si>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</si>
  <si>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</si>
  <si>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</si>
  <si>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</si>
  <si>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</si>
  <si>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</si>
  <si>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</si>
  <si>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</si>
  <si>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</si>
  <si>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</si>
  <si>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</si>
  <si>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</si>
  <si>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</si>
  <si>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</si>
  <si>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</si>
  <si>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</si>
  <si>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</si>
  <si>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</si>
  <si>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</si>
  <si>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</si>
  <si>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</si>
  <si>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</si>
  <si>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</si>
  <si>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</si>
  <si>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</si>
  <si>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</si>
  <si>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</si>
  <si>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</si>
  <si>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</si>
  <si>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</si>
  <si>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</si>
  <si>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</si>
  <si>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</si>
  <si>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</si>
  <si>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</si>
  <si>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</si>
  <si>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</si>
  <si>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</si>
  <si>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</si>
  <si>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</si>
  <si>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</si>
  <si>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</si>
  <si>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</si>
  <si>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</si>
  <si>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</si>
  <si>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</si>
  <si>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</si>
  <si>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</si>
  <si>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</si>
  <si>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</si>
  <si>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</si>
  <si>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</si>
  <si>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</si>
  <si>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</si>
  <si>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</si>
  <si>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</si>
  <si>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</si>
  <si>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</si>
  <si>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</si>
  <si>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</si>
  <si>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</si>
  <si>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</si>
  <si>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</si>
  <si>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</si>
  <si>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</si>
  <si>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</si>
  <si>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</si>
  <si>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</si>
  <si>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</si>
  <si>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</si>
  <si>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</si>
  <si>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</si>
  <si>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</si>
  <si>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</si>
  <si>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</si>
  <si>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</si>
  <si>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</si>
  <si>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</si>
  <si>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</si>
  <si>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</si>
  <si>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</si>
  <si>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</si>
  <si>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</si>
  <si>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</si>
  <si>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</si>
  <si>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</si>
  <si>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</si>
  <si>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</si>
  <si>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</si>
  <si>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</si>
  <si>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</si>
  <si>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</si>
  <si>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</si>
  <si>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</si>
  <si>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</si>
  <si>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</si>
  <si>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</si>
  <si>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</si>
  <si>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</si>
  <si>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</si>
  <si>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</si>
  <si>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</si>
  <si>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</si>
  <si>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</si>
  <si>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</si>
  <si>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</si>
  <si>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</si>
  <si>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</si>
  <si>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</si>
  <si>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</si>
  <si>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</si>
  <si>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</si>
  <si>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</si>
  <si>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</si>
  <si>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</si>
  <si>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</si>
  <si>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</si>
  <si>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</si>
  <si>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</si>
  <si>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</si>
  <si>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</si>
  <si>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</si>
  <si>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</si>
  <si>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</si>
  <si>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</si>
  <si>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</si>
  <si>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</si>
  <si>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</si>
  <si>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</si>
  <si>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</si>
  <si>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</si>
  <si>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</si>
  <si>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</si>
  <si>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</si>
  <si>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</si>
  <si>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</si>
  <si>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</si>
  <si>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</si>
  <si>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</si>
  <si>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</si>
  <si>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</si>
  <si>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</si>
  <si>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</si>
  <si>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</si>
  <si>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</si>
  <si>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</si>
  <si>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</si>
  <si>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</si>
  <si>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</si>
  <si>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</si>
  <si>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</si>
  <si>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</si>
  <si>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</si>
  <si>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</si>
  <si>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</si>
  <si>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</si>
  <si>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</si>
  <si>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</si>
  <si>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</si>
  <si>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</si>
  <si>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</si>
  <si>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</si>
  <si>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</si>
  <si>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</si>
  <si>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</si>
  <si>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</si>
  <si>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</si>
  <si>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</si>
  <si>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</si>
  <si>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</si>
  <si>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</si>
  <si>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</si>
  <si>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</si>
  <si>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</si>
  <si>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</si>
  <si>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</si>
  <si>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</si>
  <si>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</si>
  <si>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</si>
  <si>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</si>
  <si>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</si>
  <si>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</si>
  <si>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</si>
  <si>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</si>
  <si>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</si>
  <si>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</si>
  <si>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</si>
  <si>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</si>
  <si>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</si>
  <si>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</si>
  <si>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</si>
  <si>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</si>
  <si>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</si>
  <si>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</si>
  <si>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</si>
  <si>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</si>
  <si>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</si>
  <si>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</si>
  <si>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</si>
  <si>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</si>
  <si>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</si>
  <si>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</si>
  <si>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</si>
  <si>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</si>
  <si>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</si>
  <si>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</si>
  <si>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</si>
  <si>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</si>
  <si>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</si>
  <si>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</si>
  <si>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</si>
  <si>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</si>
  <si>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</si>
  <si>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</si>
  <si>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</si>
  <si>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</si>
  <si>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</si>
  <si>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</si>
  <si>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</si>
  <si>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</si>
  <si>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</si>
  <si>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</si>
  <si>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</si>
  <si>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</si>
  <si>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</si>
  <si>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</si>
  <si>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</si>
  <si>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</si>
  <si>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</si>
  <si>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</si>
  <si>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</si>
  <si>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</si>
  <si>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</si>
  <si>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</si>
  <si>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</si>
  <si>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</si>
  <si>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</si>
  <si>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</si>
  <si>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</si>
  <si>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</si>
  <si>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</si>
  <si>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</si>
  <si>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</si>
  <si>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</si>
  <si>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</si>
  <si>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</si>
  <si>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</si>
  <si>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</si>
  <si>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</si>
  <si>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</si>
  <si>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</si>
  <si>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</si>
  <si>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</si>
  <si>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</si>
  <si>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</si>
  <si>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</si>
  <si>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</si>
  <si>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</si>
  <si>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</si>
  <si>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</si>
  <si>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</si>
  <si>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</si>
  <si>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</si>
  <si>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</si>
  <si>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</si>
  <si>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</si>
  <si>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</si>
  <si>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</si>
  <si>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</si>
  <si>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</si>
  <si>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</si>
  <si>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</si>
  <si>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</si>
  <si>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</si>
  <si>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</si>
  <si>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</si>
  <si>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</si>
  <si>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</si>
  <si>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</si>
  <si>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</si>
  <si>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</si>
  <si>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</si>
  <si>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</si>
  <si>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</si>
  <si>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</si>
  <si>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</si>
  <si>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</si>
  <si>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</si>
  <si>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</si>
  <si>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</si>
  <si>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</si>
  <si>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</si>
  <si>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</si>
  <si>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</si>
  <si>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</si>
  <si>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</si>
  <si>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</si>
  <si>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</si>
  <si>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</si>
  <si>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</si>
  <si>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</si>
  <si>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</si>
  <si>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</si>
  <si>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</si>
  <si>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</si>
  <si>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</si>
  <si>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</si>
  <si>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</si>
  <si>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</si>
  <si>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</si>
  <si>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</si>
  <si>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</si>
  <si>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</si>
  <si>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</si>
  <si>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</si>
  <si>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</si>
  <si>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</si>
  <si>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</si>
  <si>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</si>
  <si>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</si>
  <si>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</si>
  <si>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</si>
  <si>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</si>
  <si>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</si>
  <si>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</si>
  <si>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</si>
  <si>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</si>
  <si>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</si>
  <si>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</si>
  <si>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</si>
  <si>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</si>
  <si>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</si>
  <si>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</si>
  <si>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</si>
  <si>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</si>
  <si>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</si>
  <si>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</si>
  <si>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</si>
  <si>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</si>
  <si>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</si>
  <si>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</si>
  <si>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</si>
  <si>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</si>
  <si>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</si>
  <si>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</si>
  <si>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</si>
  <si>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</si>
  <si>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</si>
  <si>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</si>
  <si>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</si>
  <si>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</si>
  <si>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</si>
  <si>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</si>
  <si>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</si>
  <si>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</si>
  <si>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</si>
  <si>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</si>
  <si>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</si>
  <si>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</si>
  <si>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</si>
  <si>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</si>
  <si>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</si>
  <si>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</si>
  <si>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</si>
  <si>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</si>
  <si>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</si>
  <si>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</si>
  <si>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</si>
  <si>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</si>
  <si>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</si>
  <si>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</si>
  <si>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</si>
  <si>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</si>
  <si>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</si>
  <si>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</si>
  <si>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</si>
  <si>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</si>
  <si>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</si>
  <si>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</si>
  <si>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</si>
  <si>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</si>
  <si>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</si>
  <si>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</si>
  <si>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</si>
  <si>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</si>
  <si>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</si>
  <si>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</si>
  <si>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</si>
  <si>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</si>
  <si>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</si>
  <si>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</si>
  <si>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</si>
  <si>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</si>
  <si>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</si>
  <si>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</si>
  <si>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</si>
  <si>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</si>
  <si>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</si>
  <si>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</si>
  <si>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</si>
  <si>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</si>
  <si>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</si>
  <si>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</si>
  <si>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</si>
  <si>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</si>
  <si>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</si>
  <si>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</si>
  <si>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</si>
  <si>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</si>
  <si>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</si>
  <si>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</si>
  <si>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</si>
  <si>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</si>
  <si>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</si>
  <si>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</si>
  <si>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</si>
  <si>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</si>
  <si>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</si>
  <si>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</si>
  <si>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</si>
  <si>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</si>
  <si>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</si>
  <si>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</si>
  <si>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</si>
  <si>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</si>
  <si>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</si>
  <si>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</si>
  <si>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</si>
  <si>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</si>
  <si>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</si>
  <si>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</si>
  <si>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</si>
  <si>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</si>
  <si>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</si>
  <si>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</si>
  <si>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</si>
  <si>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</si>
  <si>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</si>
  <si>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</si>
  <si>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</si>
  <si>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</si>
  <si>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</si>
  <si>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</si>
  <si>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</si>
  <si>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</si>
  <si>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</si>
  <si>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</si>
  <si>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</si>
  <si>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</si>
  <si>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</si>
  <si>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</si>
  <si>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</si>
  <si>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</si>
  <si>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</si>
  <si>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</si>
  <si>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</si>
  <si>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</si>
  <si>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</si>
  <si>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</si>
  <si>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</si>
  <si>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</si>
  <si>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</si>
  <si>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</si>
  <si>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</si>
  <si>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</si>
  <si>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</si>
  <si>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</si>
  <si>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</si>
  <si>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</si>
  <si>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</si>
  <si>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</si>
  <si>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</si>
  <si>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</si>
  <si>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</si>
  <si>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</si>
  <si>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</si>
  <si>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</si>
  <si>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</si>
  <si>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</si>
  <si>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</si>
  <si>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</si>
  <si>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</si>
  <si>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</si>
  <si>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</si>
  <si>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</si>
  <si>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</si>
  <si>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</si>
  <si>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</si>
  <si>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</si>
  <si>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</si>
  <si>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</si>
  <si>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</si>
  <si>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</si>
  <si>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</si>
  <si>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</si>
  <si>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</si>
  <si>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</si>
  <si>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</si>
  <si>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</si>
  <si>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</si>
  <si>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</si>
  <si>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</si>
  <si>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</si>
  <si>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</si>
  <si>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</si>
  <si>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</si>
  <si>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</si>
  <si>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</si>
  <si>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</si>
  <si>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</si>
  <si>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</si>
  <si>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</si>
  <si>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</si>
  <si>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</si>
  <si>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</si>
  <si>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</si>
  <si>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</si>
  <si>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</si>
  <si>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</si>
  <si>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</si>
  <si>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</si>
  <si>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</si>
  <si>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</si>
  <si>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</si>
  <si>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</si>
  <si>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</si>
  <si>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</si>
  <si>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</si>
  <si>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</si>
  <si>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</si>
  <si>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</si>
  <si>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</si>
  <si>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</si>
  <si>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</si>
  <si>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</si>
  <si>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</si>
  <si>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</si>
  <si>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</si>
  <si>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</si>
  <si>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</si>
  <si>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</si>
  <si>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</si>
  <si>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</si>
  <si>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</si>
  <si>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</si>
  <si>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</si>
  <si>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</si>
  <si>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</si>
  <si>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</si>
  <si>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</si>
  <si>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</si>
  <si>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</si>
  <si>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</si>
  <si>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</si>
  <si>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</si>
  <si>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</si>
  <si>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</si>
  <si>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</si>
  <si>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</si>
  <si>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</si>
  <si>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</si>
  <si>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</si>
  <si>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</si>
  <si>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</si>
  <si>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</si>
  <si>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</si>
  <si>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</si>
  <si>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</si>
  <si>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</si>
  <si>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</si>
  <si>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</si>
  <si>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</si>
  <si>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</si>
  <si>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</si>
  <si>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</si>
  <si>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</si>
  <si>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</si>
  <si>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</si>
  <si>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</si>
  <si>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</si>
  <si>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</si>
  <si>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</si>
  <si>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</si>
  <si>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</si>
  <si>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</si>
  <si>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</si>
  <si>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</si>
  <si>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</si>
  <si>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</si>
  <si>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</si>
  <si>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</si>
  <si>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</si>
  <si>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</si>
  <si>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</si>
  <si>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</si>
  <si>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</si>
  <si>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</si>
  <si>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</si>
  <si>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</si>
  <si>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</si>
  <si>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</si>
  <si>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</si>
  <si>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</si>
  <si>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</si>
  <si>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</si>
  <si>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</si>
  <si>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</si>
  <si>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</si>
  <si>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</si>
  <si>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</si>
  <si>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</si>
  <si>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</si>
  <si>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</si>
  <si>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</si>
  <si>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</si>
  <si>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</si>
  <si>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</si>
  <si>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</si>
  <si>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</si>
  <si>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</si>
  <si>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</si>
  <si>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</si>
  <si>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</si>
  <si>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</si>
  <si>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</si>
  <si>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</si>
  <si>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</si>
  <si>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</si>
  <si>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</si>
  <si>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</si>
  <si>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</si>
  <si>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</si>
  <si>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</si>
  <si>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</si>
  <si>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</si>
  <si>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</si>
  <si>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</si>
  <si>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</si>
  <si>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</si>
  <si>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</si>
  <si>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</si>
  <si>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</si>
  <si>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</si>
  <si>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</si>
  <si>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</si>
  <si>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</si>
  <si>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</si>
  <si>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</si>
  <si>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</si>
  <si>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</si>
  <si>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</si>
  <si>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</si>
  <si>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</si>
  <si>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</si>
  <si>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</si>
  <si>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</si>
  <si>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</si>
  <si>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</si>
  <si>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</si>
  <si>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</si>
  <si>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</si>
  <si>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</si>
  <si>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</si>
  <si>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</si>
  <si>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</si>
  <si>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</si>
  <si>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</si>
  <si>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</si>
  <si>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</si>
  <si>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</si>
  <si>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</si>
  <si>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</si>
  <si>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</si>
  <si>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</si>
  <si>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</si>
  <si>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</si>
  <si>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</si>
  <si>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</si>
  <si>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</si>
  <si>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</si>
  <si>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</si>
  <si>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</si>
  <si>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</si>
  <si>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</si>
  <si>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</si>
  <si>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</si>
  <si>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</si>
  <si>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</si>
  <si>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</si>
  <si>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</si>
  <si>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</si>
  <si>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</si>
  <si>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</si>
  <si>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</si>
  <si>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</si>
  <si>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</si>
  <si>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</si>
  <si>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</si>
  <si>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</si>
  <si>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</si>
  <si>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</si>
  <si>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</si>
  <si>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</si>
  <si>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</si>
  <si>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</si>
  <si>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</si>
  <si>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</si>
  <si>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</si>
  <si>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</si>
  <si>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</si>
  <si>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</si>
  <si>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</si>
  <si>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</si>
  <si>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</si>
  <si>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</si>
  <si>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</si>
  <si>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</si>
  <si>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</si>
  <si>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</si>
  <si>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</si>
  <si>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</si>
  <si>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</si>
  <si>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</si>
  <si>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</si>
  <si>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</si>
  <si>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</si>
  <si>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</si>
  <si>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</si>
  <si>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</si>
  <si>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</si>
  <si>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</si>
  <si>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</si>
  <si>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</si>
  <si>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</si>
  <si>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</si>
  <si>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</si>
  <si>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</si>
  <si>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</si>
  <si>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</si>
  <si>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</si>
  <si>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</si>
  <si>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</si>
  <si>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</si>
  <si>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</si>
  <si>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</si>
  <si>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</si>
  <si>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</si>
  <si>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</si>
  <si>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</si>
  <si>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</si>
  <si>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</si>
  <si>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</si>
  <si>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</si>
  <si>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</si>
  <si>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</si>
  <si>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</si>
  <si>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</si>
  <si>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</si>
  <si>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</si>
  <si>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</si>
  <si>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</si>
  <si>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</si>
  <si>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</si>
  <si>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</si>
  <si>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</si>
  <si>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</si>
  <si>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</si>
  <si>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</si>
  <si>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</si>
  <si>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</si>
  <si>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</si>
  <si>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</si>
  <si>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</si>
  <si>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</si>
  <si>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</si>
  <si>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</si>
  <si>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</si>
  <si>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</si>
  <si>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</si>
  <si>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</si>
  <si>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</si>
  <si>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</si>
  <si>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</si>
  <si>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</si>
  <si>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</si>
  <si>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</si>
  <si>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</si>
  <si>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</si>
  <si>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</si>
  <si>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</si>
  <si>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</si>
  <si>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</si>
  <si>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</si>
  <si>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</si>
  <si>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</si>
  <si>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</si>
  <si>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</si>
  <si>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</si>
  <si>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</si>
  <si>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</si>
  <si>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</si>
  <si>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</si>
  <si>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</si>
  <si>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</si>
  <si>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</si>
  <si>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</si>
  <si>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</si>
  <si>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</si>
  <si>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</si>
  <si>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</si>
  <si>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</si>
  <si>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</si>
  <si>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</si>
  <si>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</si>
  <si>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</si>
  <si>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</si>
  <si>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</si>
  <si>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</si>
  <si>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</si>
  <si>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</si>
  <si>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</si>
  <si>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</si>
  <si>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</si>
  <si>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</si>
  <si>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</si>
  <si>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</si>
  <si>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</si>
  <si>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</si>
  <si>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</si>
  <si>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</si>
  <si>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</si>
  <si>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</si>
  <si>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</si>
  <si>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</si>
  <si>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</si>
  <si>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</si>
  <si>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</si>
  <si>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</si>
  <si>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</si>
  <si>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</si>
  <si>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</si>
  <si>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</si>
  <si>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</si>
  <si>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</si>
  <si>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</si>
  <si>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</si>
  <si>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</si>
  <si>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</si>
  <si>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</si>
  <si>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</si>
  <si>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</si>
  <si>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</si>
  <si>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</si>
  <si>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</si>
  <si>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</si>
  <si>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</si>
  <si>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</si>
  <si>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</si>
  <si>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</si>
  <si>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</si>
  <si>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</si>
  <si>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</si>
  <si>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</si>
  <si>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</si>
  <si>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</si>
  <si>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</si>
  <si>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</si>
  <si>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</si>
  <si>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</si>
  <si>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</si>
  <si>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</si>
  <si>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</si>
  <si>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</si>
  <si>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</si>
  <si>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</si>
  <si>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</si>
  <si>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</si>
  <si>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</si>
  <si>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</si>
  <si>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</si>
  <si>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</si>
  <si>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</si>
  <si>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</si>
  <si>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</si>
  <si>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</si>
  <si>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</si>
  <si>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</si>
  <si>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</si>
  <si>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</si>
  <si>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</si>
  <si>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</si>
  <si>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</si>
  <si>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</si>
  <si>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</si>
  <si>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</si>
  <si>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</si>
  <si>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</si>
  <si>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</si>
  <si>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</si>
  <si>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</si>
  <si>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</si>
  <si>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</si>
  <si>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</si>
  <si>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</si>
  <si>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</si>
  <si>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</si>
  <si>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</si>
  <si>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</si>
  <si>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</si>
  <si>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</si>
  <si>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</si>
  <si>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</si>
  <si>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</si>
  <si>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</si>
  <si>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</si>
  <si>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</si>
  <si>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</si>
  <si>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</si>
  <si>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</si>
  <si>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</si>
  <si>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</si>
  <si>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</si>
  <si>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</si>
  <si>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</si>
  <si>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</si>
  <si>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</si>
  <si>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</si>
  <si>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</si>
  <si>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</si>
  <si>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</si>
  <si>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</si>
  <si>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</si>
  <si>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</si>
  <si>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</si>
  <si>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</si>
  <si>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</si>
  <si>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</si>
  <si>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</si>
  <si>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</si>
  <si>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</si>
  <si>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</si>
  <si>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</si>
  <si>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</si>
  <si>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</si>
  <si>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</si>
  <si>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</si>
  <si>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</si>
  <si>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</si>
  <si>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</si>
  <si>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</si>
  <si>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</si>
  <si>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</si>
  <si>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</si>
  <si>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</si>
  <si>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</si>
  <si>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</si>
  <si>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</si>
  <si>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</si>
  <si>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</si>
  <si>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</si>
  <si>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</si>
  <si>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</si>
  <si>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</si>
  <si>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</si>
  <si>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</si>
  <si>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</si>
  <si>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</si>
  <si>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</si>
  <si>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</si>
  <si>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</si>
  <si>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</si>
  <si>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</si>
  <si>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</si>
  <si>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</si>
  <si>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</si>
  <si>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</si>
  <si>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</si>
  <si>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</si>
  <si>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</si>
  <si>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</si>
  <si>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</si>
  <si>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</si>
  <si>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</si>
  <si>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</si>
  <si>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</si>
  <si>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</si>
  <si>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</si>
  <si>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</si>
  <si>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</si>
  <si>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</si>
  <si>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</si>
  <si>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</si>
  <si>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</si>
  <si>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</si>
  <si>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</si>
  <si>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</si>
  <si>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</si>
  <si>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</si>
  <si>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</si>
  <si>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</si>
  <si>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</si>
  <si>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</si>
  <si>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</si>
  <si>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</si>
  <si>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</si>
  <si>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</si>
  <si>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</si>
  <si>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</si>
  <si>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</si>
  <si>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</si>
  <si>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</si>
  <si>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</si>
  <si>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</si>
  <si>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</si>
  <si>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</si>
  <si>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</si>
  <si>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</si>
  <si>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</si>
  <si>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</si>
  <si>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</si>
  <si>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</si>
  <si>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</si>
  <si>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</si>
  <si>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</si>
  <si>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</si>
  <si>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</si>
  <si>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</si>
  <si>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</si>
  <si>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</si>
  <si>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</si>
  <si>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</si>
  <si>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</si>
  <si>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</si>
  <si>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</si>
  <si>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</si>
  <si>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</si>
  <si>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</si>
  <si>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</si>
  <si>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</si>
  <si>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</si>
  <si>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</si>
  <si>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</si>
  <si>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</si>
  <si>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</si>
  <si>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</si>
  <si>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</si>
  <si>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</si>
  <si>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</si>
  <si>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</si>
  <si>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</si>
  <si>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</si>
  <si>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</si>
  <si>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</si>
  <si>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</si>
  <si>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</si>
  <si>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</si>
  <si>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</si>
  <si>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</si>
  <si>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</si>
  <si>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</si>
  <si>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</si>
  <si>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</si>
  <si>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</si>
  <si>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</si>
  <si>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</si>
  <si>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</si>
  <si>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</si>
  <si>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</si>
  <si>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</si>
  <si>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</si>
  <si>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</si>
  <si>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</si>
  <si>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</si>
  <si>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</si>
  <si>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</si>
  <si>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</si>
  <si>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</si>
  <si>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</si>
  <si>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</si>
  <si>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</si>
  <si>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</si>
  <si>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</si>
  <si>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</si>
  <si>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</si>
  <si>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</si>
  <si>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</si>
  <si>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</si>
  <si>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</si>
  <si>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</si>
  <si>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</si>
  <si>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</si>
  <si>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</si>
  <si>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</si>
  <si>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</si>
  <si>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</si>
  <si>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</si>
  <si>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</si>
  <si>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</si>
  <si>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</si>
  <si>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</si>
  <si>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</si>
  <si>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</si>
  <si>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</si>
  <si>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</si>
  <si>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</si>
  <si>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</si>
  <si>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</si>
  <si>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</si>
  <si>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</si>
  <si>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</si>
  <si>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</si>
  <si>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</si>
  <si>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</si>
  <si>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</si>
  <si>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</si>
  <si>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</si>
  <si>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</si>
  <si>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</si>
  <si>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</si>
  <si>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</si>
  <si>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</si>
  <si>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</si>
  <si>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</si>
  <si>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</si>
  <si>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</si>
  <si>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</si>
  <si>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</si>
  <si>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</si>
  <si>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</si>
  <si>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</si>
  <si>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</si>
  <si>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</si>
  <si>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</si>
  <si>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</si>
  <si>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</si>
  <si>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</si>
  <si>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</si>
  <si>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</si>
  <si>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</si>
  <si>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</si>
  <si>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</si>
  <si>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</si>
  <si>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</si>
  <si>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</si>
  <si>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</si>
  <si>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</si>
  <si>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</si>
  <si>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</si>
  <si>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</si>
  <si>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</si>
  <si>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</si>
  <si>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</si>
  <si>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</si>
  <si>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</si>
  <si>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</si>
  <si>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</si>
  <si>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</si>
  <si>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</si>
  <si>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</si>
  <si>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</si>
  <si>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</si>
  <si>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</si>
  <si>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</si>
  <si>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</si>
  <si>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</si>
  <si>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</si>
  <si>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</si>
  <si>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</si>
  <si>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</si>
  <si>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</si>
  <si>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</si>
  <si>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</si>
  <si>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</si>
  <si>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</si>
  <si>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</si>
  <si>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</si>
  <si>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</si>
  <si>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</si>
  <si>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</si>
  <si>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</si>
  <si>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</si>
  <si>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</si>
  <si>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</si>
  <si>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</si>
  <si>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</si>
  <si>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</si>
  <si>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</si>
  <si>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</si>
  <si>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</si>
  <si>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</si>
  <si>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</si>
  <si>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</si>
  <si>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</si>
  <si>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</si>
  <si>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</si>
  <si>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</si>
  <si>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</si>
  <si>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</si>
  <si>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</si>
  <si>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</si>
  <si>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</si>
  <si>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</si>
  <si>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</si>
  <si>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</si>
  <si>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</si>
  <si>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</si>
  <si>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</si>
  <si>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</si>
  <si>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</si>
  <si>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</si>
  <si>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</si>
  <si>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</si>
  <si>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</si>
  <si>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</si>
  <si>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</si>
  <si>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</si>
  <si>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</si>
  <si>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</si>
  <si>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</si>
  <si>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</si>
  <si>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</si>
  <si>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</si>
  <si>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</si>
  <si>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</si>
  <si>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</si>
  <si>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</si>
  <si>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</si>
  <si>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</si>
  <si>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</si>
  <si>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</si>
  <si>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</si>
  <si>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</si>
  <si>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</si>
  <si>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</si>
  <si>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</si>
  <si>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</si>
  <si>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</si>
  <si>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</si>
  <si>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</si>
  <si>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</si>
  <si>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</si>
  <si>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</si>
  <si>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</si>
  <si>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</si>
  <si>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</si>
  <si>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</si>
  <si>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</si>
  <si>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</si>
  <si>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</si>
  <si>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</si>
  <si>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</si>
  <si>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</si>
  <si>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</si>
  <si>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</si>
  <si>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</si>
  <si>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</si>
  <si>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</si>
  <si>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</si>
  <si>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</si>
  <si>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</si>
  <si>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</si>
  <si>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</si>
  <si>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</si>
  <si>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</si>
  <si>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</si>
  <si>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</si>
  <si>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</si>
  <si>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</si>
  <si>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</si>
  <si>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</si>
  <si>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</si>
  <si>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</si>
  <si>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</si>
  <si>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</si>
  <si>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</si>
  <si>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</si>
  <si>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</si>
  <si>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</si>
  <si>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</si>
  <si>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</si>
  <si>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</si>
  <si>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</si>
  <si>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</si>
  <si>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</si>
  <si>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</si>
  <si>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</si>
  <si>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</si>
  <si>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</si>
  <si>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</si>
  <si>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</si>
  <si>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</si>
  <si>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</si>
  <si>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</si>
  <si>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</si>
  <si>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</si>
  <si>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</si>
  <si>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</si>
  <si>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</si>
  <si>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</si>
  <si>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</si>
  <si>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</si>
  <si>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</si>
  <si>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</si>
  <si>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</si>
  <si>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</si>
  <si>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</si>
  <si>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</si>
  <si>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</si>
  <si>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</si>
  <si>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</si>
  <si>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</si>
  <si>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</si>
  <si>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</si>
  <si>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</si>
  <si>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</si>
  <si>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</si>
  <si>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</si>
  <si>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</si>
  <si>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</si>
  <si>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</si>
  <si>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</si>
  <si>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</si>
  <si>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</si>
  <si>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</si>
  <si>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</si>
  <si>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</si>
  <si>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</si>
  <si>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</si>
  <si>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</si>
  <si>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</si>
  <si>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</si>
  <si>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</si>
  <si>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</si>
  <si>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</si>
  <si>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</si>
  <si>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</si>
  <si>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</si>
  <si>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</si>
  <si>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</si>
  <si>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</si>
  <si>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</si>
  <si>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</si>
  <si>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</si>
  <si>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</si>
  <si>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</si>
  <si>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</si>
  <si>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</si>
  <si>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</si>
  <si>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</si>
  <si>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</si>
  <si>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</si>
  <si>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</si>
  <si>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</si>
  <si>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</si>
  <si>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</si>
  <si>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</si>
  <si>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</si>
  <si>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</si>
  <si>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</si>
  <si>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</si>
  <si>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</si>
  <si>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</si>
  <si>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</si>
  <si>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</si>
  <si>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</si>
  <si>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</si>
  <si>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</si>
  <si>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</si>
  <si>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</si>
  <si>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</si>
  <si>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</si>
  <si>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</si>
  <si>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</si>
  <si>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</si>
  <si>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</si>
  <si>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</si>
  <si>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</si>
  <si>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</si>
  <si>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</si>
  <si>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</si>
  <si>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</si>
  <si>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</si>
  <si>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</si>
  <si>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</si>
  <si>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</si>
  <si>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</si>
  <si>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</si>
  <si>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</si>
  <si>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</si>
  <si>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</si>
  <si>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</si>
  <si>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</si>
  <si>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</si>
  <si>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</si>
  <si>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</si>
  <si>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</si>
  <si>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</si>
  <si>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</si>
  <si>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</si>
  <si>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</si>
  <si>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</si>
  <si>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</si>
  <si>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</si>
  <si>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</si>
  <si>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</si>
  <si>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</si>
  <si>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</si>
  <si>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</si>
  <si>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</si>
  <si>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</si>
  <si>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</si>
  <si>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</si>
  <si>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</si>
  <si>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</si>
  <si>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</si>
  <si>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</si>
  <si>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</si>
  <si>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</si>
  <si>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</si>
  <si>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</si>
  <si>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</si>
  <si>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</si>
  <si>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</si>
  <si>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</si>
  <si>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</si>
  <si>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</si>
  <si>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</si>
  <si>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</si>
  <si>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</si>
  <si>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</si>
  <si>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</si>
  <si>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</si>
  <si>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</si>
  <si>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</si>
  <si>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</si>
  <si>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</si>
  <si>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</si>
  <si>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</si>
  <si>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</si>
  <si>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</si>
  <si>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</si>
  <si>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</si>
  <si>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</si>
  <si>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</si>
  <si>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</si>
  <si>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</si>
  <si>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</si>
  <si>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</si>
  <si>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</si>
  <si>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</si>
  <si>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</si>
  <si>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</si>
  <si>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</si>
  <si>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</si>
  <si>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</si>
  <si>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</si>
  <si>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</si>
  <si>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</si>
  <si>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</si>
  <si>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</si>
  <si>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</si>
  <si>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</si>
  <si>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</si>
  <si>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</si>
  <si>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</si>
  <si>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</si>
  <si>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</si>
  <si>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</si>
  <si>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</si>
  <si>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</si>
  <si>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</si>
  <si>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</si>
  <si>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</si>
  <si>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</si>
  <si>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</si>
  <si>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</si>
  <si>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</si>
  <si>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</si>
  <si>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</si>
  <si>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</si>
  <si>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</si>
  <si>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</si>
  <si>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</si>
  <si>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</si>
  <si>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</si>
  <si>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</si>
  <si>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</si>
  <si>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</si>
  <si>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</si>
  <si>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</si>
  <si>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</si>
  <si>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</si>
  <si>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</si>
  <si>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</si>
  <si>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</si>
  <si>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</si>
  <si>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</si>
  <si>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</si>
  <si>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</si>
  <si>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</si>
  <si>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</si>
  <si>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</si>
  <si>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</si>
  <si>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</si>
  <si>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</si>
  <si>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</si>
  <si>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</si>
  <si>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</si>
  <si>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</si>
  <si>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</si>
  <si>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</si>
  <si>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</si>
  <si>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</si>
  <si>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</si>
  <si>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</si>
  <si>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</si>
  <si>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</si>
  <si>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</si>
  <si>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</si>
  <si>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</si>
  <si>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</si>
  <si>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</si>
  <si>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</si>
  <si>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</si>
  <si>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</si>
  <si>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</si>
  <si>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</si>
  <si>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</si>
  <si>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</si>
  <si>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</si>
  <si>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</si>
  <si>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</si>
  <si>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</si>
  <si>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</si>
  <si>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</si>
  <si>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</si>
  <si>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</si>
  <si>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</si>
  <si>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</si>
  <si>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</si>
  <si>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</si>
  <si>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</si>
  <si>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</si>
  <si>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</si>
  <si>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</si>
  <si>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</si>
  <si>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</si>
  <si>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</si>
  <si>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</si>
  <si>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</si>
  <si>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</si>
  <si>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</si>
  <si>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</si>
  <si>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</si>
  <si>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</si>
  <si>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</si>
  <si>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</si>
  <si>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</si>
  <si>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</si>
  <si>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</si>
  <si>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</si>
  <si>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</si>
  <si>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</si>
  <si>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</si>
  <si>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</si>
  <si>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</si>
  <si>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</si>
  <si>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</si>
  <si>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</si>
  <si>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</si>
  <si>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</si>
  <si>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</si>
  <si>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</si>
  <si>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</si>
  <si>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</si>
  <si>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</si>
  <si>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</si>
  <si>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</si>
  <si>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</si>
  <si>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</si>
  <si>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</si>
  <si>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</si>
  <si>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</si>
  <si>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</si>
  <si>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</si>
  <si>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</si>
  <si>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</si>
  <si>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</si>
  <si>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</si>
  <si>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</si>
  <si>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</si>
  <si>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</si>
  <si>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</si>
  <si>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</si>
  <si>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</si>
  <si>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</si>
  <si>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</si>
  <si>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</si>
  <si>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</si>
  <si>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</si>
  <si>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</si>
  <si>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</si>
  <si>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</si>
  <si>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</si>
  <si>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</si>
  <si>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</si>
  <si>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</si>
  <si>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</si>
  <si>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</si>
  <si>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</si>
  <si>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</si>
  <si>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</si>
  <si>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</si>
  <si>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</si>
  <si>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</si>
  <si>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</si>
  <si>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</si>
  <si>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</si>
  <si>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</si>
  <si>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</si>
  <si>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</si>
  <si>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</si>
  <si>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</si>
  <si>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</si>
  <si>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</si>
  <si>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</si>
  <si>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</si>
  <si>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</si>
  <si>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</si>
  <si>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</si>
  <si>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</si>
  <si>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</si>
  <si>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</si>
  <si>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</si>
  <si>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</si>
  <si>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</si>
  <si>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</si>
  <si>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</si>
  <si>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</si>
  <si>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</si>
  <si>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</si>
  <si>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</si>
  <si>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</si>
  <si>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</si>
  <si>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</si>
  <si>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</si>
  <si>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</si>
  <si>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</si>
  <si>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</si>
  <si>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</si>
  <si>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</si>
  <si>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</si>
  <si>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</si>
  <si>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</si>
  <si>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</si>
  <si>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</si>
  <si>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</si>
  <si>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</si>
  <si>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</si>
  <si>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</si>
  <si>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</si>
  <si>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</si>
  <si>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</si>
  <si>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</si>
  <si>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</si>
  <si>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</si>
  <si>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</si>
  <si>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</si>
  <si>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</si>
  <si>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</si>
  <si>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</si>
  <si>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</si>
  <si>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</si>
  <si>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</si>
  <si>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</si>
  <si>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</si>
  <si>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</si>
  <si>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</si>
  <si>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</si>
  <si>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</si>
  <si>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</si>
  <si>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</si>
  <si>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</si>
  <si>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</si>
  <si>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</si>
  <si>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</si>
  <si>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</si>
  <si>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</si>
  <si>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</si>
  <si>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</si>
  <si>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</si>
  <si>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</si>
  <si>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</si>
  <si>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</si>
  <si>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</si>
  <si>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</si>
  <si>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</si>
  <si>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</si>
  <si>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</si>
  <si>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</si>
  <si>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</si>
  <si>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</si>
  <si>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</si>
  <si>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</si>
  <si>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</si>
  <si>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</si>
  <si>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</si>
  <si>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</si>
  <si>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</si>
  <si>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</si>
  <si>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</si>
  <si>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</si>
  <si>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</si>
  <si>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</si>
  <si>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</si>
  <si>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</si>
  <si>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</si>
  <si>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</si>
  <si>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</si>
  <si>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</si>
  <si>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</si>
  <si>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</si>
  <si>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</si>
  <si>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</si>
  <si>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</si>
  <si>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</si>
  <si>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</si>
  <si>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</si>
  <si>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</si>
  <si>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</si>
  <si>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</si>
  <si>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</si>
  <si>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</si>
  <si>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</si>
  <si>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</si>
  <si>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</si>
  <si>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</si>
  <si>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</si>
  <si>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</si>
  <si>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</si>
  <si>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</si>
  <si>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</si>
  <si>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</si>
  <si>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</si>
  <si>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</si>
  <si>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</si>
  <si>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</si>
  <si>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</si>
  <si>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</si>
  <si>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</si>
  <si>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</si>
  <si>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</si>
  <si>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</si>
  <si>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</si>
  <si>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</si>
  <si>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</si>
  <si>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</si>
  <si>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</si>
  <si>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</si>
  <si>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</si>
  <si>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</si>
  <si>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</si>
  <si>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</si>
  <si>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</si>
  <si>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</si>
  <si>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</si>
  <si>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</si>
  <si>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</si>
  <si>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</si>
  <si>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</si>
  <si>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</si>
  <si>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</si>
  <si>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</si>
  <si>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</si>
  <si>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</si>
  <si>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</si>
  <si>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</si>
  <si>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</si>
  <si>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</si>
  <si>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</si>
  <si>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</si>
  <si>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</si>
  <si>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</si>
  <si>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</si>
  <si>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</si>
  <si>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</si>
  <si>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</si>
  <si>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</si>
  <si>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</si>
  <si>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</si>
  <si>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</si>
  <si>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</si>
  <si>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</si>
  <si>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</si>
  <si>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</si>
  <si>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</si>
  <si>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</si>
  <si>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</si>
  <si>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</si>
  <si>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</si>
  <si>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</si>
  <si>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</si>
  <si>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</si>
  <si>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</si>
  <si>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</si>
  <si>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</si>
  <si>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</si>
  <si>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</si>
  <si>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</si>
  <si>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</si>
  <si>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</si>
  <si>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</si>
  <si>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</si>
  <si>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</si>
  <si>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</si>
  <si>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</si>
  <si>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</si>
  <si>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</si>
  <si>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</si>
  <si>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</si>
  <si>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</si>
  <si>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</si>
  <si>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</si>
  <si>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</si>
  <si>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</si>
  <si>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</si>
  <si>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</si>
  <si>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</si>
  <si>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</si>
  <si>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</si>
  <si>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</si>
  <si>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</si>
  <si>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</si>
  <si>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</si>
  <si>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</si>
  <si>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</si>
  <si>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</si>
  <si>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</si>
  <si>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</si>
  <si>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</si>
  <si>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</si>
  <si>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</si>
  <si>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</si>
  <si>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</si>
  <si>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</si>
  <si>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</si>
  <si>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</si>
  <si>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</si>
  <si>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</si>
  <si>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</si>
  <si>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</si>
  <si>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</si>
  <si>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</si>
  <si>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</si>
  <si>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</si>
  <si>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</si>
  <si>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</si>
  <si>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</si>
  <si>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</si>
  <si>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</si>
  <si>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</si>
  <si>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</si>
  <si>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</si>
  <si>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</si>
  <si>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</si>
  <si>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</si>
  <si>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</si>
  <si>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</si>
  <si>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</si>
  <si>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</si>
  <si>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</si>
  <si>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</si>
  <si>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</si>
  <si>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</si>
  <si>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</si>
  <si>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</si>
  <si>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</si>
  <si>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</si>
  <si>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</si>
  <si>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</si>
  <si>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</si>
  <si>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</si>
  <si>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</si>
  <si>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</si>
  <si>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</si>
  <si>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</si>
  <si>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</si>
  <si>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</si>
  <si>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</si>
  <si>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</si>
  <si>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</si>
  <si>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</si>
  <si>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</si>
  <si>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</si>
  <si>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</si>
  <si>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</si>
  <si>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</si>
  <si>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</si>
  <si>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</si>
  <si>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</si>
  <si>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</si>
  <si>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</si>
  <si>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</si>
  <si>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</si>
  <si>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</si>
  <si>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</si>
  <si>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</si>
  <si>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</si>
  <si>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</si>
  <si>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</si>
  <si>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</si>
  <si>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</si>
  <si>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</si>
  <si>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</si>
  <si>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</si>
  <si>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</si>
  <si>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</si>
  <si>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</si>
  <si>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</si>
  <si>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</si>
  <si>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</si>
  <si>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</si>
  <si>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</si>
  <si>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</si>
  <si>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</si>
  <si>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</si>
  <si>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</si>
  <si>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</si>
  <si>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</si>
  <si>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</si>
  <si>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</si>
  <si>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</si>
  <si>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</si>
  <si>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</si>
  <si>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</si>
  <si>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</si>
  <si>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</si>
  <si>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</si>
  <si>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</si>
  <si>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</si>
  <si>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</si>
  <si>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</si>
  <si>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</si>
  <si>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</si>
  <si>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</si>
  <si>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</si>
  <si>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</si>
  <si>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</si>
  <si>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</si>
  <si>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</si>
  <si>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</si>
  <si>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</si>
  <si>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</si>
  <si>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</si>
  <si>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</si>
  <si>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</si>
  <si>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</si>
  <si>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</si>
  <si>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</si>
  <si>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</si>
  <si>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</si>
  <si>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</si>
  <si>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</si>
  <si>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</si>
  <si>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</si>
  <si>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</si>
  <si>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</si>
  <si>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</si>
  <si>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</si>
  <si>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</si>
  <si>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</si>
  <si>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</si>
  <si>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</si>
  <si>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</si>
  <si>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</si>
  <si>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</si>
  <si>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</si>
  <si>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</si>
  <si>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</si>
  <si>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</si>
  <si>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</si>
  <si>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</si>
  <si>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</si>
  <si>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</si>
  <si>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</si>
  <si>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</si>
  <si>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</si>
  <si>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</si>
  <si>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</si>
  <si>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</si>
  <si>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</si>
  <si>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</si>
  <si>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</si>
  <si>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</si>
  <si>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</si>
  <si>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</si>
  <si>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</si>
  <si>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</si>
  <si>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</si>
  <si>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</si>
  <si>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</si>
  <si>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</si>
  <si>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</si>
  <si>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</si>
  <si>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</si>
  <si>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</si>
  <si>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</si>
  <si>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</si>
  <si>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</si>
  <si>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</si>
  <si>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</si>
  <si>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</si>
  <si>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</si>
  <si>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</si>
  <si>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</si>
  <si>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</si>
  <si>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</si>
  <si>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</si>
  <si>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</si>
  <si>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</si>
  <si>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</si>
  <si>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</si>
  <si>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</si>
  <si>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</si>
  <si>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</si>
  <si>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</si>
  <si>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</si>
  <si>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</si>
  <si>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</si>
  <si>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</si>
  <si>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</si>
  <si>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</si>
  <si>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</si>
  <si>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</si>
  <si>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</si>
  <si>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</si>
  <si>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</si>
  <si>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</si>
  <si>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</si>
  <si>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</si>
  <si>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</si>
  <si>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</si>
  <si>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</si>
  <si>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</si>
  <si>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</si>
  <si>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</si>
  <si>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</si>
  <si>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</si>
  <si>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</si>
  <si>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</si>
  <si>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</si>
  <si>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</si>
  <si>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</si>
  <si>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</si>
  <si>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</si>
  <si>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</si>
  <si>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</si>
  <si>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</si>
  <si>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</si>
  <si>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</si>
  <si>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</si>
  <si>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</si>
  <si>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</si>
  <si>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</si>
  <si>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</si>
  <si>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</si>
  <si>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</si>
  <si>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</si>
  <si>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</si>
  <si>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</si>
  <si>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</si>
  <si>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</si>
  <si>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</si>
  <si>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</si>
  <si>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</si>
  <si>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</si>
  <si>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</si>
  <si>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</si>
  <si>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</si>
  <si>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</si>
  <si>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</si>
  <si>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</si>
  <si>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</si>
  <si>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</si>
  <si>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</si>
  <si>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</si>
  <si>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</si>
  <si>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</si>
  <si>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</si>
  <si>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</si>
  <si>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</si>
  <si>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</si>
  <si>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</si>
  <si>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</si>
  <si>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</si>
  <si>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</si>
  <si>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</si>
  <si>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</si>
  <si>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</si>
  <si>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</si>
  <si>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</si>
  <si>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</si>
  <si>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</si>
  <si>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</si>
  <si>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</si>
  <si>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</si>
  <si>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</si>
  <si>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</si>
  <si>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</si>
  <si>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</si>
  <si>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</si>
  <si>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</si>
  <si>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</si>
  <si>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</si>
  <si>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</si>
  <si>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</si>
  <si>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</si>
  <si>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</si>
  <si>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</si>
  <si>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</si>
  <si>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</si>
  <si>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</si>
  <si>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</si>
  <si>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</si>
  <si>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</si>
  <si>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</si>
  <si>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</si>
  <si>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</si>
  <si>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</si>
  <si>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</si>
  <si>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</si>
  <si>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</si>
  <si>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</si>
  <si>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</si>
  <si>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</si>
  <si>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</si>
  <si>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</si>
  <si>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</si>
  <si>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</si>
  <si>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</si>
  <si>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</si>
  <si>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</si>
  <si>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</si>
  <si>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</si>
  <si>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</si>
  <si>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</si>
  <si>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</si>
  <si>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</si>
  <si>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</si>
  <si>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</si>
  <si>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</si>
  <si>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</si>
  <si>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</si>
  <si>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</si>
  <si>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</si>
  <si>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</si>
  <si>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</si>
  <si>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</si>
  <si>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</si>
  <si>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</si>
  <si>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</si>
  <si>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</si>
  <si>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</si>
  <si>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</si>
  <si>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</si>
  <si>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</si>
  <si>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</si>
  <si>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</si>
  <si>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</si>
  <si>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</si>
  <si>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</si>
  <si>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</si>
  <si>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</si>
  <si>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</si>
  <si>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</si>
  <si>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</si>
  <si>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</si>
  <si>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</si>
  <si>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</si>
  <si>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</si>
  <si>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</si>
  <si>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</si>
  <si>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</si>
  <si>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</si>
  <si>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</si>
  <si>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</si>
  <si>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</si>
  <si>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</si>
  <si>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</si>
  <si>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</si>
  <si>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</si>
  <si>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</si>
  <si>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</si>
  <si>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</si>
  <si>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</si>
  <si>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</si>
  <si>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</si>
  <si>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</si>
  <si>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</si>
  <si>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</si>
  <si>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</si>
  <si>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</si>
  <si>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</si>
  <si>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</si>
  <si>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</si>
  <si>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</si>
  <si>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</si>
  <si>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</si>
  <si>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</si>
  <si>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</si>
  <si>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</si>
  <si>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</si>
  <si>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</si>
  <si>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</si>
  <si>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</si>
  <si>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</si>
  <si>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</si>
  <si>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</si>
  <si>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</si>
  <si>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</si>
  <si>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</si>
  <si>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</si>
  <si>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</si>
  <si>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</si>
  <si>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</si>
  <si>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</si>
  <si>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</si>
  <si>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</si>
  <si>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</si>
  <si>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</si>
  <si>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</si>
  <si>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</si>
  <si>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</si>
  <si>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</si>
  <si>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</si>
  <si>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</si>
  <si>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</si>
  <si>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</si>
  <si>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</si>
  <si>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</si>
  <si>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</si>
  <si>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</si>
  <si>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</si>
  <si>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</si>
  <si>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</si>
  <si>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</si>
  <si>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</si>
  <si>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</si>
  <si>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</si>
  <si>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</si>
  <si>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</si>
  <si>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</si>
  <si>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</si>
  <si>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</si>
  <si>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</si>
  <si>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</si>
  <si>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</si>
  <si>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</si>
  <si>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</si>
  <si>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</si>
  <si>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</si>
  <si>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</si>
  <si>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</si>
  <si>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</si>
  <si>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</si>
  <si>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</si>
  <si>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</si>
  <si>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</si>
  <si>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</si>
  <si>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</si>
  <si>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</si>
  <si>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</si>
  <si>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</si>
  <si>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</si>
  <si>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</si>
  <si>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</si>
  <si>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</si>
  <si>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</si>
  <si>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</si>
  <si>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</si>
  <si>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</si>
  <si>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</si>
  <si>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</si>
  <si>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</si>
  <si>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</si>
  <si>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</si>
  <si>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</si>
  <si>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</si>
  <si>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</si>
  <si>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</si>
  <si>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</si>
  <si>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</si>
  <si>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</si>
  <si>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</si>
  <si>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</si>
  <si>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</si>
  <si>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</si>
  <si>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</si>
  <si>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</si>
  <si>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</si>
  <si>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</si>
  <si>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</si>
  <si>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</si>
  <si>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</si>
  <si>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</si>
  <si>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</si>
  <si>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</si>
  <si>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</si>
  <si>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</si>
  <si>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</si>
  <si>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</si>
  <si>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</si>
  <si>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</si>
  <si>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</si>
  <si>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</si>
  <si>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</si>
  <si>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</si>
  <si>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</si>
  <si>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</si>
  <si>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</si>
  <si>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</si>
  <si>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</si>
  <si>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</si>
  <si>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</si>
  <si>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</si>
  <si>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</si>
  <si>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</si>
  <si>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</si>
  <si>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</si>
  <si>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</si>
  <si>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</si>
  <si>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</si>
  <si>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</si>
  <si>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</si>
  <si>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</si>
  <si>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</si>
  <si>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</si>
  <si>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</si>
  <si>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</si>
  <si>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</si>
  <si>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</si>
  <si>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</si>
  <si>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</si>
  <si>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</si>
  <si>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</si>
  <si>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</si>
  <si>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</si>
  <si>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</si>
  <si>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</si>
  <si>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</si>
  <si>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</si>
  <si>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</si>
  <si>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</si>
  <si>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</si>
  <si>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</si>
  <si>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</si>
  <si>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</si>
  <si>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</si>
  <si>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</si>
  <si>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</si>
  <si>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</si>
  <si>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</si>
  <si>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</si>
  <si>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</si>
  <si>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</si>
  <si>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</si>
  <si>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</si>
  <si>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</si>
  <si>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</si>
  <si>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</si>
  <si>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</si>
  <si>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</si>
  <si>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</si>
  <si>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</si>
  <si>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</si>
  <si>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</si>
  <si>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</si>
  <si>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</si>
  <si>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</si>
  <si>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</si>
  <si>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</si>
  <si>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</si>
  <si>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</si>
  <si>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</si>
  <si>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</si>
  <si>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</si>
  <si>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</si>
  <si>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</si>
  <si>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</si>
  <si>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</si>
  <si>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</si>
  <si>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</si>
  <si>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</si>
  <si>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</si>
  <si>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</si>
  <si>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</si>
  <si>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</si>
  <si>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</si>
  <si>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</si>
  <si>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</si>
  <si>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</si>
  <si>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</si>
  <si>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</si>
  <si>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</si>
  <si>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</si>
  <si>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</si>
  <si>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</si>
  <si>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</si>
  <si>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</si>
  <si>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</si>
  <si>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</si>
  <si>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</si>
  <si>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</si>
  <si>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</si>
  <si>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</si>
  <si>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</si>
  <si>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</si>
  <si>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</si>
  <si>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</si>
  <si>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</si>
  <si>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</si>
  <si>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</si>
  <si>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</si>
  <si>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</si>
  <si>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</si>
  <si>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</si>
  <si>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</si>
  <si>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</si>
  <si>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</si>
  <si>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</si>
  <si>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</si>
  <si>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</si>
  <si>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</si>
  <si>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</si>
  <si>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</si>
  <si>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</si>
  <si>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</si>
  <si>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</si>
  <si>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</si>
  <si>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</si>
  <si>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</si>
  <si>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</si>
  <si>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</si>
  <si>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</si>
  <si>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</si>
  <si>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</si>
  <si>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</si>
  <si>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</si>
  <si>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</si>
  <si>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</si>
  <si>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</si>
  <si>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</si>
  <si>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</si>
  <si>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</si>
  <si>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</si>
  <si>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</si>
  <si>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</si>
  <si>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</si>
  <si>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</si>
  <si>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</si>
  <si>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</si>
  <si>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</si>
  <si>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</si>
  <si>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</si>
  <si>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</si>
  <si>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</si>
  <si>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</si>
  <si>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</si>
  <si>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</si>
  <si>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</si>
  <si>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</si>
  <si>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</si>
  <si>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</si>
  <si>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</si>
  <si>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</si>
  <si>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</si>
  <si>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</si>
  <si>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</si>
  <si>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</si>
  <si>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</si>
  <si>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</si>
  <si>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</si>
  <si>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</si>
  <si>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</si>
  <si>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</si>
  <si>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</si>
  <si>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</si>
  <si>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</si>
  <si>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</si>
  <si>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</si>
  <si>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</si>
  <si>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</si>
  <si>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</si>
  <si>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</si>
  <si>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</si>
  <si>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</si>
  <si>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</si>
  <si>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</si>
  <si>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</si>
  <si>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</si>
  <si>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</si>
  <si>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</si>
  <si>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</si>
  <si>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</si>
  <si>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</si>
  <si>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</si>
  <si>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</si>
  <si>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</si>
  <si>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</si>
  <si>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</si>
  <si>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</si>
  <si>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</si>
  <si>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</si>
  <si>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</si>
  <si>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</si>
  <si>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</si>
  <si>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</si>
  <si>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</si>
  <si>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</si>
  <si>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</si>
  <si>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</si>
  <si>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</si>
  <si>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</si>
  <si>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</si>
  <si>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</si>
  <si>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</si>
  <si>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</si>
  <si>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</si>
  <si>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</si>
  <si>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</si>
  <si>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</si>
  <si>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</si>
  <si>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</si>
  <si>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</si>
  <si>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</si>
  <si>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</si>
  <si>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</si>
  <si>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</si>
  <si>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</si>
  <si>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</si>
  <si>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</si>
  <si>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</si>
  <si>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</si>
  <si>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</si>
  <si>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</si>
  <si>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</si>
  <si>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</si>
  <si>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</si>
  <si>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</si>
  <si>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</si>
  <si>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</si>
  <si>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</si>
  <si>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</si>
  <si>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</si>
  <si>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</si>
  <si>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</si>
  <si>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</si>
  <si>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</si>
  <si>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</si>
  <si>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</si>
  <si>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</si>
  <si>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</si>
  <si>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</si>
  <si>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</si>
  <si>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</si>
  <si>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</si>
  <si>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</si>
  <si>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</si>
  <si>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</si>
  <si>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</si>
  <si>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</si>
  <si>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</si>
  <si>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</si>
  <si>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</si>
  <si>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</si>
  <si>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</si>
  <si>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</si>
  <si>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</si>
  <si>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</si>
  <si>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</si>
  <si>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</si>
  <si>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</si>
  <si>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</si>
  <si>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</si>
  <si>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</si>
  <si>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</si>
  <si>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</si>
  <si>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</si>
  <si>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</si>
  <si>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</si>
  <si>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</si>
  <si>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</si>
  <si>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</si>
  <si>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</si>
  <si>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</si>
  <si>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</si>
  <si>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</si>
  <si>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</si>
  <si>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</si>
  <si>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</si>
  <si>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</si>
  <si>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</si>
  <si>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</si>
  <si>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</si>
  <si>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</si>
  <si>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</si>
  <si>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</si>
  <si>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</si>
  <si>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</si>
  <si>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</si>
  <si>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</si>
  <si>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</si>
  <si>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</si>
  <si>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</si>
  <si>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</si>
  <si>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</si>
  <si>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</si>
  <si>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</si>
  <si>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</si>
  <si>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</si>
  <si>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</si>
  <si>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</si>
  <si>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</si>
  <si>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</si>
  <si>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</si>
  <si>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</si>
  <si>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</si>
  <si>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</si>
  <si>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</si>
  <si>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</si>
  <si>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</si>
  <si>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</si>
  <si>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</si>
  <si>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</si>
  <si>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</si>
  <si>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</si>
  <si>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</si>
  <si>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</si>
  <si>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</si>
  <si>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</si>
  <si>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</si>
  <si>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</si>
  <si>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</si>
  <si>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</si>
  <si>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</si>
  <si>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</si>
  <si>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</si>
  <si>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</si>
  <si>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</si>
  <si>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</si>
  <si>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</si>
  <si>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</si>
  <si>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</si>
  <si>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</si>
  <si>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</si>
  <si>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</si>
  <si>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</si>
  <si>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</si>
  <si>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</si>
  <si>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</si>
  <si>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</si>
  <si>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</si>
  <si>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</si>
  <si>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</si>
  <si>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</si>
  <si>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</si>
  <si>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</si>
  <si>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</si>
  <si>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</si>
  <si>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</si>
  <si>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</si>
  <si>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</si>
  <si>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</si>
  <si>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</si>
  <si>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</si>
  <si>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</si>
  <si>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</si>
  <si>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</si>
  <si>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</si>
  <si>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</si>
  <si>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</si>
  <si>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</si>
  <si>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</si>
  <si>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</si>
  <si>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</si>
  <si>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</si>
  <si>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</si>
  <si>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</si>
  <si>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</si>
  <si>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</si>
  <si>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</si>
  <si>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</si>
  <si>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</si>
  <si>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</si>
  <si>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</si>
  <si>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</si>
  <si>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</si>
  <si>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</si>
  <si>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</si>
  <si>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</si>
  <si>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</si>
  <si>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</si>
  <si>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</si>
  <si>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</si>
  <si>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</si>
  <si>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</si>
  <si>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</si>
  <si>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</si>
  <si>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</si>
  <si>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</si>
  <si>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</si>
  <si>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</si>
  <si>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</si>
  <si>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</si>
  <si>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</si>
  <si>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</si>
  <si>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</si>
  <si>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</si>
  <si>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</si>
  <si>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</si>
  <si>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</si>
  <si>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</si>
  <si>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</si>
  <si>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</si>
  <si>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</si>
  <si>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</si>
  <si>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</si>
  <si>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</si>
  <si>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</si>
  <si>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</si>
  <si>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</si>
  <si>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</si>
  <si>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</si>
  <si>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</si>
  <si>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</si>
  <si>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</si>
  <si>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</si>
  <si>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</si>
  <si>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</si>
  <si>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</si>
  <si>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</si>
  <si>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</si>
  <si>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</si>
  <si>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</si>
  <si>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</si>
  <si>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</si>
  <si>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</si>
  <si>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</si>
  <si>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</si>
  <si>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</si>
  <si>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</si>
  <si>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</si>
  <si>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</si>
  <si>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</si>
  <si>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</si>
  <si>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</si>
  <si>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</si>
  <si>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</si>
  <si>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</si>
  <si>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</si>
  <si>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</si>
  <si>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</si>
  <si>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</si>
  <si>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</si>
  <si>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</si>
  <si>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</si>
  <si>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</si>
  <si>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</si>
  <si>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</si>
  <si>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</si>
  <si>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</si>
  <si>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</si>
  <si>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</si>
  <si>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</si>
  <si>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</si>
  <si>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</si>
  <si>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</si>
  <si>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</si>
  <si>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</si>
  <si>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</si>
  <si>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</si>
  <si>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</si>
  <si>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</si>
  <si>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</si>
  <si>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</si>
  <si>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</si>
  <si>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</si>
  <si>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</si>
  <si>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</si>
  <si>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</si>
  <si>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</si>
  <si>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</si>
  <si>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</si>
  <si>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</si>
  <si>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</si>
  <si>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</si>
  <si>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</si>
  <si>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</si>
  <si>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</si>
  <si>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</si>
  <si>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</si>
  <si>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</si>
  <si>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</si>
  <si>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</si>
  <si>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</si>
  <si>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</si>
  <si>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</si>
  <si>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</si>
  <si>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</si>
  <si>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</si>
  <si>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</si>
  <si>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</si>
  <si>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</si>
  <si>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</si>
  <si>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</si>
  <si>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</si>
  <si>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</si>
  <si>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</si>
  <si>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</si>
  <si>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</si>
  <si>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</si>
  <si>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</si>
  <si>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</si>
  <si>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</si>
  <si>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</si>
  <si>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</si>
  <si>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</si>
  <si>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</si>
  <si>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</si>
  <si>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</si>
  <si>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</si>
  <si>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</si>
  <si>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</si>
  <si>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</si>
  <si>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</si>
  <si>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</si>
  <si>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</si>
  <si>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</si>
  <si>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</si>
  <si>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</si>
  <si>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</si>
  <si>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</si>
  <si>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</si>
  <si>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</si>
  <si>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</si>
  <si>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</si>
  <si>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</si>
  <si>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</si>
  <si>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</si>
  <si>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</si>
  <si>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</si>
  <si>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</si>
  <si>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</si>
  <si>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</si>
  <si>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</si>
  <si>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</si>
  <si>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</si>
  <si>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</si>
  <si>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</si>
  <si>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</si>
  <si>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</si>
  <si>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</si>
  <si>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</si>
  <si>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</si>
  <si>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</si>
  <si>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</si>
  <si>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</si>
  <si>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</si>
  <si>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</si>
  <si>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</si>
  <si>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</si>
  <si>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</si>
  <si>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</si>
  <si>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</si>
  <si>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</si>
  <si>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</si>
  <si>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</si>
  <si>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</si>
  <si>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</si>
  <si>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</si>
  <si>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</si>
  <si>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</si>
  <si>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</si>
  <si>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</si>
  <si>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</si>
  <si>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</si>
  <si>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</si>
  <si>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</si>
  <si>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</si>
  <si>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</si>
  <si>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</si>
  <si>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</si>
  <si>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</si>
  <si>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</si>
  <si>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</si>
  <si>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</si>
  <si>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</si>
  <si>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</si>
  <si>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</si>
  <si>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</si>
  <si>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</si>
  <si>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</si>
  <si>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</si>
  <si>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</si>
  <si>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</si>
  <si>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</si>
  <si>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</si>
  <si>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</si>
  <si>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</si>
  <si>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</si>
  <si>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</si>
  <si>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</si>
  <si>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</si>
  <si>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</si>
  <si>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</si>
  <si>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</si>
  <si>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</si>
  <si>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</si>
  <si>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</si>
  <si>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</si>
  <si>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</si>
  <si>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</si>
  <si>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</si>
  <si>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</si>
  <si>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</si>
  <si>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</si>
  <si>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</si>
  <si>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</si>
  <si>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</si>
  <si>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</si>
  <si>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</si>
  <si>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</si>
  <si>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</si>
  <si>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</si>
  <si>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</si>
  <si>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</si>
  <si>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</si>
  <si>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</si>
  <si>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</si>
  <si>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</si>
  <si>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</si>
  <si>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</si>
  <si>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</si>
  <si>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</si>
  <si>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</si>
  <si>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</si>
  <si>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</si>
  <si>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</si>
  <si>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</si>
  <si>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</si>
  <si>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</si>
  <si>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</si>
  <si>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</si>
  <si>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</si>
  <si>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</si>
  <si>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</si>
  <si>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</si>
  <si>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</si>
  <si>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</si>
  <si>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</si>
  <si>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</si>
  <si>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</si>
  <si>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</si>
  <si>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</si>
  <si>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</si>
  <si>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</si>
  <si>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</si>
  <si>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</si>
  <si>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</si>
  <si>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</si>
  <si>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</si>
  <si>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</si>
  <si>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</si>
  <si>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</si>
  <si>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</si>
  <si>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</si>
  <si>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</si>
  <si>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</si>
  <si>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</si>
  <si>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</si>
  <si>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</si>
  <si>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</si>
  <si>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</si>
  <si>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</si>
  <si>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</si>
  <si>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</si>
  <si>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</si>
  <si>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</si>
  <si>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</si>
  <si>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</si>
  <si>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</si>
  <si>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</si>
  <si>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</si>
  <si>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</si>
  <si>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</si>
  <si>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</si>
  <si>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</si>
  <si>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</si>
  <si>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</si>
  <si>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</si>
  <si>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</si>
  <si>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</si>
  <si>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</si>
  <si>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</si>
  <si>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</si>
  <si>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</si>
  <si>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</si>
  <si>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</si>
  <si>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</si>
  <si>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</si>
  <si>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</si>
  <si>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</si>
  <si>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</si>
  <si>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</si>
  <si>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</si>
  <si>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</si>
  <si>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</si>
  <si>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</si>
  <si>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</si>
  <si>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</si>
  <si>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</si>
  <si>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</si>
  <si>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</si>
  <si>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</si>
  <si>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</si>
  <si>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</si>
  <si>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</si>
  <si>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</si>
  <si>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</si>
  <si>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</si>
  <si>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</si>
  <si>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</si>
  <si>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</si>
  <si>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</si>
  <si>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</si>
  <si>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</si>
  <si>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</si>
  <si>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</si>
  <si>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</si>
  <si>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</si>
  <si>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</si>
  <si>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</si>
  <si>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</si>
  <si>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</si>
  <si>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</si>
  <si>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</si>
  <si>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</si>
  <si>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</si>
  <si>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</si>
  <si>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</si>
  <si>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</si>
  <si>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</si>
  <si>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</si>
  <si>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</si>
  <si>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</si>
  <si>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</si>
  <si>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</si>
  <si>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</si>
  <si>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</si>
  <si>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</si>
  <si>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</si>
  <si>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</si>
  <si>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</si>
  <si>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</si>
  <si>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</si>
  <si>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</si>
  <si>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</si>
  <si>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</si>
  <si>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</si>
  <si>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</si>
  <si>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</si>
  <si>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</si>
  <si>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</si>
  <si>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</si>
  <si>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</si>
  <si>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</si>
  <si>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</si>
  <si>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</si>
  <si>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</si>
  <si>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</si>
  <si>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</si>
  <si>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</si>
  <si>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</si>
  <si>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</si>
  <si>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</si>
  <si>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</si>
  <si>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</si>
  <si>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</si>
  <si>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</si>
  <si>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</si>
  <si>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</si>
  <si>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</si>
  <si>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</si>
  <si>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</si>
  <si>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</si>
  <si>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</si>
  <si>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</si>
  <si>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</si>
  <si>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</si>
  <si>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</si>
  <si>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</si>
  <si>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</si>
  <si>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</si>
  <si>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</si>
  <si>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</si>
  <si>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</si>
  <si>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</si>
  <si>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</si>
  <si>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</si>
  <si>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</si>
  <si>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</si>
  <si>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</si>
  <si>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</si>
  <si>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</si>
  <si>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</si>
  <si>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</si>
  <si>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</si>
  <si>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</si>
  <si>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</si>
  <si>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</si>
  <si>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</si>
  <si>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</si>
  <si>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</si>
  <si>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</si>
  <si>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</si>
  <si>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</si>
  <si>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</si>
  <si>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</si>
  <si>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</si>
  <si>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</si>
  <si>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</si>
  <si>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</si>
  <si>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</si>
  <si>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</si>
  <si>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</si>
  <si>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</si>
  <si>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</si>
  <si>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</si>
  <si>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</si>
  <si>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</si>
  <si>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</si>
  <si>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</si>
  <si>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</si>
  <si>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</si>
  <si>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</si>
  <si>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</si>
  <si>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</si>
  <si>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</si>
  <si>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</si>
  <si>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</si>
  <si>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</si>
  <si>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</si>
  <si>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</si>
  <si>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</si>
  <si>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</si>
  <si>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</si>
  <si>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</si>
  <si>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</si>
  <si>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</si>
  <si>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</si>
  <si>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</si>
  <si>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</si>
  <si>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</si>
  <si>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</si>
  <si>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</si>
  <si>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</si>
  <si>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</si>
  <si>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</si>
  <si>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</si>
  <si>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</si>
  <si>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</si>
  <si>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</si>
  <si>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</si>
  <si>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</si>
  <si>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</si>
  <si>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</si>
  <si>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</si>
  <si>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</si>
  <si>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</si>
  <si>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</si>
  <si>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</si>
  <si>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</si>
  <si>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</si>
  <si>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</si>
  <si>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</si>
  <si>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</si>
  <si>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</si>
  <si>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</si>
  <si>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</si>
  <si>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</si>
  <si>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</si>
  <si>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</si>
  <si>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</si>
  <si>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</si>
  <si>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</si>
  <si>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</si>
  <si>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</si>
  <si>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</si>
  <si>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</si>
  <si>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</si>
  <si>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</si>
  <si>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</si>
  <si>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</si>
  <si>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</si>
  <si>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</si>
  <si>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</si>
  <si>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</si>
  <si>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</si>
  <si>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</si>
  <si>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</si>
  <si>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</si>
  <si>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</si>
  <si>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</si>
  <si>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</si>
  <si>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</si>
  <si>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</si>
  <si>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</si>
  <si>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</si>
  <si>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</si>
  <si>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</si>
  <si>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</si>
  <si>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</si>
  <si>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</si>
  <si>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</si>
  <si>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</si>
  <si>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</si>
  <si>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</si>
  <si>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</si>
  <si>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</si>
  <si>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</si>
  <si>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</si>
  <si>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</si>
  <si>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</si>
  <si>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</si>
  <si>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</si>
  <si>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</si>
  <si>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</si>
  <si>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</si>
  <si>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</si>
  <si>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</si>
  <si>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</si>
  <si>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</si>
  <si>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</si>
  <si>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</si>
  <si>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</si>
  <si>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</si>
  <si>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</si>
  <si>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</si>
  <si>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</si>
  <si>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</si>
  <si>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</si>
  <si>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</si>
  <si>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</si>
  <si>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</si>
  <si>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</si>
  <si>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</si>
  <si>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</si>
  <si>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</si>
  <si>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</si>
  <si>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</si>
  <si>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</si>
  <si>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</si>
  <si>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</si>
  <si>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</si>
  <si>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</si>
  <si>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</si>
  <si>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</si>
  <si>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</si>
  <si>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</si>
  <si>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</si>
  <si>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</si>
  <si>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</si>
  <si>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</si>
  <si>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</si>
  <si>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</si>
  <si>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</si>
  <si>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</si>
  <si>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</si>
  <si>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</si>
  <si>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</si>
  <si>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</si>
  <si>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</si>
  <si>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</si>
  <si>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</si>
  <si>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</si>
  <si>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</si>
  <si>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</si>
  <si>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</si>
  <si>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</si>
  <si>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</si>
  <si>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</si>
  <si>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</si>
  <si>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</si>
  <si>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</si>
  <si>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</si>
  <si>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</si>
  <si>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</si>
  <si>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</si>
  <si>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</si>
  <si>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</si>
  <si>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</si>
  <si>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</si>
  <si>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</si>
  <si>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</si>
  <si>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</si>
  <si>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</si>
  <si>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</si>
  <si>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</si>
  <si>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</si>
  <si>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</si>
  <si>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</si>
  <si>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</si>
  <si>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</si>
  <si>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</si>
  <si>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</si>
  <si>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</si>
  <si>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</si>
  <si>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</si>
  <si>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</si>
  <si>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</si>
  <si>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</si>
  <si>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</si>
  <si>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</si>
  <si>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</si>
  <si>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</si>
  <si>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</si>
  <si>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</si>
  <si>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</si>
  <si>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</si>
  <si>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</si>
  <si>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</si>
  <si>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</si>
  <si>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</si>
  <si>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</si>
  <si>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</si>
  <si>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</si>
  <si>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</si>
  <si>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</si>
  <si>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</si>
  <si>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</si>
  <si>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</si>
  <si>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</si>
  <si>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</si>
  <si>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</si>
  <si>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</si>
  <si>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</si>
  <si>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</si>
  <si>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</si>
  <si>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</si>
  <si>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</si>
  <si>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</si>
  <si>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</si>
  <si>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</si>
  <si>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</si>
  <si>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</si>
  <si>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</si>
  <si>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</si>
  <si>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</si>
  <si>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</si>
  <si>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</si>
  <si>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</si>
  <si>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</si>
  <si>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</si>
  <si>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</si>
  <si>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</si>
  <si>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</si>
  <si>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</si>
  <si>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</si>
  <si>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</si>
  <si>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</si>
  <si>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</si>
  <si>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</si>
  <si>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</si>
  <si>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</si>
  <si>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</si>
  <si>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</si>
  <si>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</si>
  <si>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</si>
  <si>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</si>
  <si>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</si>
  <si>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</si>
  <si>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</si>
  <si>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</si>
  <si>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</si>
  <si>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</si>
  <si>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</si>
  <si>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</si>
  <si>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</si>
  <si>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</si>
  <si>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</si>
  <si>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</si>
  <si>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</si>
  <si>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</si>
  <si>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</si>
  <si>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</si>
  <si>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</si>
  <si>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</si>
  <si>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</si>
  <si>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</si>
  <si>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</si>
  <si>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</si>
  <si>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</si>
  <si>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</si>
  <si>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</si>
  <si>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</si>
  <si>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</si>
  <si>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</si>
  <si>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</si>
  <si>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</si>
  <si>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</si>
  <si>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</si>
  <si>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</si>
  <si>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</si>
  <si>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</si>
  <si>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</si>
  <si>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</si>
  <si>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</si>
  <si>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</si>
  <si>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</si>
  <si>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</si>
  <si>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</si>
  <si>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</si>
  <si>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</si>
  <si>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</si>
  <si>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</si>
  <si>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</si>
  <si>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</si>
  <si>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</si>
  <si>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</si>
  <si>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</si>
  <si>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</si>
  <si>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</si>
  <si>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</si>
  <si>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</si>
  <si>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</si>
  <si>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</si>
  <si>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</si>
  <si>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</si>
  <si>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</si>
  <si>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</si>
  <si>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</si>
  <si>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</si>
  <si>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</si>
  <si>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</si>
  <si>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</si>
  <si>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</si>
  <si>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</si>
  <si>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</si>
  <si>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</si>
  <si>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</si>
  <si>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</si>
  <si>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</si>
  <si>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</si>
  <si>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</si>
  <si>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</si>
  <si>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</si>
  <si>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</si>
  <si>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</si>
  <si>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</si>
  <si>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</si>
  <si>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</si>
  <si>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</si>
  <si>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</si>
  <si>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</si>
  <si>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</si>
  <si>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</si>
  <si>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</si>
  <si>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</si>
  <si>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</si>
  <si>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</si>
  <si>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</si>
  <si>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</si>
  <si>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</si>
  <si>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</si>
  <si>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</si>
  <si>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</si>
  <si>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</si>
  <si>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</si>
  <si>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</si>
  <si>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</si>
  <si>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</si>
  <si>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</si>
  <si>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</si>
  <si>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</si>
  <si>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</si>
  <si>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</si>
  <si>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</si>
  <si>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</si>
  <si>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</si>
  <si>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</si>
  <si>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</si>
  <si>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</si>
  <si>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</si>
  <si>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</si>
  <si>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</si>
  <si>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</si>
  <si>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</si>
  <si>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</si>
  <si>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</si>
  <si>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</si>
  <si>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</si>
  <si>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</si>
  <si>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</si>
  <si>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</si>
  <si>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</si>
  <si>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</si>
  <si>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</si>
  <si>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</si>
  <si>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</si>
  <si>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</si>
  <si>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</si>
  <si>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</si>
  <si>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</si>
  <si>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</si>
  <si>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</si>
  <si>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</si>
  <si>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</si>
  <si>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</si>
  <si>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</si>
  <si>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</si>
  <si>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</si>
  <si>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</si>
  <si>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</si>
  <si>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</si>
  <si>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</si>
  <si>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</si>
  <si>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</si>
  <si>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</si>
  <si>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</si>
  <si>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</si>
  <si>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</si>
  <si>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</si>
  <si>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</si>
  <si>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</si>
  <si>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</si>
  <si>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</si>
  <si>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</si>
  <si>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</si>
  <si>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</si>
  <si>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</si>
  <si>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</si>
  <si>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</si>
  <si>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</si>
  <si>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</si>
  <si>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</si>
  <si>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</si>
  <si>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</si>
  <si>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</si>
  <si>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</si>
  <si>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</si>
  <si>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</si>
  <si>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</si>
  <si>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</si>
  <si>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</si>
  <si>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</si>
  <si>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</si>
  <si>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</si>
  <si>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</si>
  <si>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</si>
  <si>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</si>
  <si>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</si>
  <si>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</si>
  <si>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</si>
  <si>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</si>
  <si>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</si>
  <si>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</si>
  <si>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</si>
  <si>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</si>
  <si>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</si>
  <si>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</si>
  <si>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</si>
  <si>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</si>
  <si>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</si>
  <si>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</si>
  <si>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</si>
  <si>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</si>
  <si>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</si>
  <si>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</si>
  <si>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</si>
  <si>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</si>
  <si>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</si>
  <si>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</si>
  <si>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</si>
  <si>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</si>
  <si>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</si>
  <si>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</si>
  <si>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</si>
  <si>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</si>
  <si>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</si>
  <si>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</si>
  <si>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</si>
  <si>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</si>
  <si>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</si>
  <si>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</si>
  <si>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</si>
  <si>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</si>
  <si>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</si>
  <si>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</si>
  <si>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</si>
  <si>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</si>
  <si>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</si>
  <si>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</si>
  <si>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</si>
  <si>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</si>
  <si>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</si>
  <si>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</si>
  <si>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</si>
  <si>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</si>
  <si>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</si>
  <si>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</si>
  <si>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</si>
  <si>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</si>
  <si>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</si>
  <si>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</si>
  <si>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</si>
  <si>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</si>
  <si>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</si>
  <si>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</si>
  <si>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</si>
  <si>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</si>
  <si>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</si>
  <si>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</si>
  <si>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</si>
  <si>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</si>
  <si>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</si>
  <si>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</si>
  <si>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</si>
  <si>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</si>
  <si>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</si>
  <si>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</si>
  <si>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</si>
  <si>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</si>
  <si>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</si>
  <si>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</si>
  <si>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</si>
  <si>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</si>
  <si>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</si>
  <si>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</si>
  <si>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</si>
  <si>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</si>
  <si>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</si>
  <si>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</si>
  <si>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</si>
  <si>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</si>
  <si>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</si>
  <si>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</si>
  <si>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</si>
  <si>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</si>
  <si>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</si>
  <si>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</si>
  <si>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</si>
  <si>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</si>
  <si>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</si>
  <si>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</si>
  <si>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</si>
  <si>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</si>
  <si>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</si>
  <si>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</si>
  <si>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</si>
  <si>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</si>
  <si>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</si>
  <si>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</si>
  <si>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</si>
  <si>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</si>
  <si>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</si>
  <si>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</si>
  <si>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</si>
  <si>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</si>
  <si>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</si>
  <si>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</si>
  <si>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</si>
  <si>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</si>
  <si>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</si>
  <si>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</si>
  <si>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</si>
  <si>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</si>
  <si>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</si>
  <si>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</si>
  <si>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</si>
  <si>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</si>
  <si>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</si>
  <si>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</si>
  <si>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</si>
  <si>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</si>
  <si>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</si>
  <si>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</si>
  <si>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</si>
  <si>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</si>
  <si>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</si>
  <si>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</si>
  <si>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</si>
  <si>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</si>
  <si>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</si>
  <si>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</si>
  <si>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</si>
  <si>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</si>
  <si>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</si>
  <si>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</si>
  <si>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</si>
  <si>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</si>
  <si>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</si>
  <si>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</si>
  <si>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</si>
  <si>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</si>
  <si>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</si>
  <si>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</si>
  <si>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</si>
  <si>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</si>
  <si>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</si>
  <si>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</si>
  <si>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</si>
  <si>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</si>
  <si>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</si>
  <si>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</si>
  <si>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</si>
  <si>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</si>
  <si>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</si>
  <si>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</si>
  <si>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</si>
  <si>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</si>
  <si>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</si>
  <si>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</si>
  <si>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</si>
  <si>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</si>
  <si>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</si>
  <si>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</si>
  <si>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</si>
  <si>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</si>
  <si>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</si>
  <si>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</si>
  <si>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</si>
  <si>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</si>
  <si>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</si>
  <si>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</si>
  <si>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</si>
  <si>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</si>
  <si>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</si>
  <si>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</si>
  <si>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</si>
  <si>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</si>
  <si>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</si>
  <si>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</si>
  <si>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</si>
  <si>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</si>
  <si>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</si>
  <si>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</si>
  <si>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</si>
  <si>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</si>
  <si>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</si>
  <si>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</si>
  <si>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</si>
  <si>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</si>
  <si>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</si>
  <si>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</si>
  <si>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</si>
  <si>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</si>
  <si>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</si>
  <si>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</si>
  <si>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</si>
  <si>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</si>
  <si>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</si>
  <si>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</si>
  <si>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</si>
  <si>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</si>
  <si>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</si>
  <si>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</si>
  <si>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</si>
  <si>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</si>
  <si>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</si>
  <si>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</si>
  <si>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</si>
  <si>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</si>
  <si>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</si>
  <si>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</si>
  <si>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</si>
  <si>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</si>
  <si>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</si>
  <si>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</si>
  <si>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</si>
  <si>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</si>
  <si>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</si>
  <si>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</si>
  <si>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</si>
  <si>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</si>
  <si>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</si>
  <si>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</si>
  <si>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</si>
  <si>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</si>
  <si>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</si>
  <si>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</si>
  <si>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</si>
  <si>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</si>
  <si>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</si>
  <si>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</si>
  <si>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</si>
  <si>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</si>
  <si>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</si>
  <si>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</si>
  <si>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</si>
  <si>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</si>
  <si>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</si>
  <si>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</si>
  <si>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</si>
  <si>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</si>
  <si>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</si>
  <si>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</si>
  <si>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</si>
  <si>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</si>
  <si>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</si>
  <si>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</si>
  <si>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</si>
  <si>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</si>
  <si>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</si>
  <si>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</si>
  <si>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</si>
  <si>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</si>
  <si>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</si>
  <si>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</si>
  <si>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</si>
  <si>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</si>
  <si>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</si>
  <si>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</si>
  <si>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</si>
  <si>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</si>
  <si>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</si>
  <si>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</si>
  <si>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</si>
  <si>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</si>
  <si>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</si>
  <si>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</si>
  <si>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</si>
  <si>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</si>
  <si>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</si>
  <si>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</si>
  <si>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</si>
  <si>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</si>
  <si>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</si>
  <si>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</si>
  <si>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</si>
  <si>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</si>
  <si>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</si>
  <si>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</si>
  <si>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</si>
  <si>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</si>
  <si>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</si>
  <si>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</si>
  <si>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</si>
  <si>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</si>
  <si>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</si>
  <si>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</si>
  <si>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</si>
  <si>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</si>
  <si>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</si>
  <si>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</si>
  <si>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</si>
  <si>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</si>
  <si>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</si>
  <si>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</si>
  <si>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</si>
  <si>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</si>
  <si>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</si>
  <si>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</si>
  <si>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</si>
  <si>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</si>
  <si>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</si>
  <si>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</si>
  <si>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</si>
  <si>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</si>
  <si>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</si>
  <si>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</si>
  <si>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</si>
  <si>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</si>
  <si>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</si>
  <si>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</si>
  <si>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</si>
  <si>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</si>
  <si>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</si>
  <si>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</si>
  <si>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</si>
  <si>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</si>
  <si>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</si>
  <si>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</si>
  <si>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</si>
  <si>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</si>
  <si>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</si>
  <si>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</si>
  <si>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</si>
  <si>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</si>
  <si>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</si>
  <si>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</si>
  <si>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</si>
  <si>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</si>
  <si>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</si>
  <si>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</si>
  <si>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</si>
  <si>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</si>
  <si>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</si>
  <si>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</si>
  <si>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</si>
  <si>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</si>
  <si>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</si>
  <si>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</si>
  <si>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</si>
  <si>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</si>
  <si>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</si>
  <si>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</si>
  <si>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</si>
  <si>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</si>
  <si>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</si>
  <si>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</si>
  <si>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</si>
  <si>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</si>
  <si>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</si>
  <si>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</si>
  <si>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</si>
  <si>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</si>
  <si>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</si>
  <si>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</si>
  <si>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</si>
  <si>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</si>
  <si>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</si>
  <si>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</si>
  <si>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</si>
  <si>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</si>
  <si>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</si>
  <si>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</si>
  <si>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</si>
  <si>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</si>
  <si>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</si>
  <si>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</si>
  <si>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</si>
  <si>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</si>
  <si>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</si>
  <si>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</si>
  <si>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</si>
  <si>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</si>
  <si>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</si>
  <si>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</si>
  <si>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</si>
  <si>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</si>
  <si>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</si>
  <si>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</si>
  <si>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</si>
  <si>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</si>
  <si>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</si>
  <si>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</si>
  <si>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</si>
  <si>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</si>
  <si>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</si>
  <si>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</si>
  <si>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</si>
  <si>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</si>
  <si>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</si>
  <si>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</si>
  <si>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</si>
  <si>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</si>
  <si>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</si>
  <si>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</si>
  <si>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</si>
  <si>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</si>
  <si>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</si>
  <si>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</si>
  <si>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</si>
  <si>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</si>
  <si>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</si>
  <si>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</si>
  <si>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</si>
  <si>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</si>
  <si>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</si>
  <si>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</si>
  <si>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</si>
  <si>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</si>
  <si>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</si>
  <si>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</si>
  <si>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</si>
  <si>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</si>
  <si>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</si>
  <si>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</si>
  <si>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</si>
  <si>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</si>
  <si>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</si>
  <si>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</si>
  <si>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</si>
  <si>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</si>
  <si>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</si>
  <si>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</si>
  <si>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</si>
  <si>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</si>
  <si>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</si>
  <si>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</si>
  <si>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</si>
  <si>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</si>
  <si>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</si>
  <si>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</si>
  <si>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</si>
  <si>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</si>
  <si>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</si>
  <si>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</si>
  <si>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</si>
  <si>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</si>
  <si>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</si>
  <si>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</si>
  <si>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</si>
  <si>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</si>
  <si>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</si>
  <si>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</si>
  <si>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</si>
  <si>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</si>
  <si>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</si>
  <si>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</si>
  <si>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</si>
  <si>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</si>
  <si>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</si>
  <si>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</si>
  <si>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</si>
  <si>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</si>
  <si>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</si>
  <si>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</si>
  <si>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</si>
  <si>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</si>
  <si>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</si>
  <si>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</si>
  <si>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</si>
  <si>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</si>
  <si>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</si>
  <si>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</si>
  <si>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</si>
  <si>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</si>
  <si>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</si>
  <si>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</si>
  <si>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</si>
  <si>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</si>
  <si>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</si>
  <si>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</si>
  <si>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</si>
  <si>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</si>
  <si>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</si>
  <si>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</si>
  <si>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</si>
  <si>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</si>
  <si>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</si>
  <si>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</si>
  <si>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</si>
  <si>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</si>
  <si>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</si>
  <si>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</si>
  <si>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</si>
  <si>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</si>
  <si>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</si>
  <si>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</si>
  <si>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</si>
  <si>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</si>
  <si>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</si>
  <si>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</si>
  <si>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</si>
  <si>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</si>
  <si>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</si>
  <si>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</si>
  <si>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</si>
  <si>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</si>
  <si>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</si>
  <si>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</si>
  <si>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</si>
  <si>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</si>
  <si>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</si>
  <si>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</si>
  <si>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</si>
  <si>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</si>
  <si>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</si>
  <si>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</si>
  <si>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</si>
  <si>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</si>
  <si>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</si>
  <si>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</si>
  <si>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</si>
  <si>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</si>
  <si>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</si>
  <si>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</si>
  <si>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</si>
  <si>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</si>
  <si>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</si>
  <si>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</si>
  <si>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</si>
  <si>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</si>
  <si>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</si>
  <si>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</si>
  <si>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</si>
  <si>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</si>
  <si>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</si>
  <si>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</si>
  <si>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</si>
  <si>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</si>
  <si>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</si>
  <si>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</si>
  <si>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</si>
  <si>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</si>
  <si>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</si>
  <si>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</si>
  <si>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</si>
  <si>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</si>
  <si>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</si>
  <si>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</si>
  <si>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</si>
  <si>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</si>
  <si>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</si>
  <si>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</si>
  <si>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</si>
  <si>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</si>
  <si>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</si>
  <si>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</si>
  <si>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</si>
  <si>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</si>
  <si>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</si>
  <si>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</si>
  <si>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</si>
  <si>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</si>
  <si>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</si>
  <si>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</si>
  <si>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</si>
  <si>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</si>
  <si>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</si>
  <si>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</si>
  <si>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</si>
  <si>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</si>
  <si>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</si>
  <si>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</si>
  <si>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</si>
  <si>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</si>
  <si>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</si>
  <si>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</si>
  <si>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</si>
  <si>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</si>
  <si>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</si>
  <si>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</si>
  <si>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</si>
  <si>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</si>
  <si>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</si>
  <si>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</si>
  <si>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</si>
  <si>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</si>
  <si>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</si>
  <si>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</si>
  <si>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</si>
  <si>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</si>
  <si>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</si>
  <si>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</si>
  <si>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</si>
  <si>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</si>
  <si>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</si>
  <si>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</si>
  <si>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</si>
  <si>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</si>
  <si>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</si>
  <si>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</si>
  <si>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</si>
  <si>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</si>
  <si>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</si>
  <si>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</si>
  <si>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</si>
  <si>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</si>
  <si>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</si>
  <si>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</si>
  <si>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</si>
  <si>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</si>
  <si>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</si>
  <si>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</si>
  <si>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</si>
  <si>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</si>
  <si>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</si>
  <si>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</si>
  <si>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</si>
  <si>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</si>
  <si>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</si>
  <si>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</si>
  <si>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</si>
  <si>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</si>
  <si>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</si>
  <si>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</si>
  <si>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</si>
  <si>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</si>
  <si>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</si>
  <si>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</si>
  <si>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</si>
  <si>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</si>
  <si>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</si>
  <si>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</si>
  <si>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</si>
  <si>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</si>
  <si>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</si>
  <si>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</si>
  <si>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</si>
  <si>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</si>
  <si>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</si>
  <si>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</si>
  <si>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</si>
  <si>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</si>
  <si>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</si>
  <si>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</si>
  <si>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</si>
  <si>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</si>
  <si>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</si>
  <si>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</si>
  <si>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</si>
  <si>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</si>
  <si>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</si>
  <si>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</si>
  <si>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</si>
  <si>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</si>
  <si>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</si>
  <si>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</si>
  <si>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</si>
  <si>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</si>
  <si>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</si>
  <si>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</si>
  <si>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</si>
  <si>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</si>
  <si>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</si>
  <si>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</si>
  <si>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</si>
  <si>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</si>
  <si>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</si>
  <si>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</si>
  <si>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</si>
  <si>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</si>
  <si>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</si>
  <si>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</si>
  <si>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</si>
  <si>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</si>
  <si>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</si>
  <si>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</si>
  <si>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</si>
  <si>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</si>
  <si>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</si>
  <si>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</si>
  <si>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</si>
  <si>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</si>
  <si>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</si>
  <si>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</si>
  <si>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</si>
  <si>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</si>
  <si>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</si>
  <si>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</si>
  <si>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</si>
  <si>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</si>
  <si>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</si>
  <si>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</si>
  <si>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</si>
  <si>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</si>
  <si>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</si>
  <si>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</si>
  <si>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</si>
  <si>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</si>
  <si>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</si>
  <si>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</si>
  <si>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</si>
  <si>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</si>
  <si>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</si>
  <si>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</si>
  <si>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</si>
  <si>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</si>
  <si>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</si>
  <si>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</si>
  <si>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</si>
  <si>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</si>
  <si>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</si>
  <si>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</si>
  <si>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</si>
  <si>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</si>
  <si>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</si>
  <si>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</si>
  <si>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</si>
  <si>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</si>
  <si>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</si>
  <si>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</si>
  <si>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</si>
  <si>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</si>
  <si>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</si>
  <si>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</si>
  <si>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</si>
  <si>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</si>
  <si>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</si>
  <si>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</si>
  <si>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</si>
  <si>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</si>
  <si>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</si>
  <si>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</si>
  <si>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</si>
  <si>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</si>
  <si>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</si>
  <si>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</si>
  <si>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</si>
  <si>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</si>
  <si>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</si>
  <si>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</si>
  <si>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</si>
  <si>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</si>
  <si>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</si>
  <si>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</si>
  <si>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</si>
  <si>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</si>
  <si>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</si>
  <si>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</si>
  <si>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</si>
  <si>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</si>
  <si>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</si>
  <si>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</si>
  <si>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</si>
  <si>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</si>
  <si>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</si>
  <si>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</si>
  <si>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</si>
  <si>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</si>
  <si>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</si>
  <si>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</si>
  <si>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</si>
  <si>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</si>
  <si>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</si>
  <si>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</si>
  <si>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</si>
  <si>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</si>
  <si>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</si>
  <si>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</si>
  <si>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</si>
  <si>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</si>
  <si>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</si>
  <si>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</si>
  <si>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</si>
  <si>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</si>
  <si>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</si>
  <si>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</si>
  <si>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</si>
  <si>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</si>
  <si>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</si>
  <si>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</si>
  <si>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</si>
  <si>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</si>
  <si>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</si>
  <si>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</si>
  <si>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</si>
  <si>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</si>
  <si>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</si>
  <si>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</si>
  <si>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</si>
  <si>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</si>
  <si>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</si>
  <si>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</si>
  <si>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</si>
  <si>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</si>
  <si>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</si>
  <si>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</si>
  <si>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</si>
  <si>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</si>
  <si>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</si>
  <si>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</si>
  <si>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</si>
  <si>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</si>
  <si>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</si>
  <si>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</si>
  <si>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</si>
  <si>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</si>
  <si>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</si>
  <si>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</si>
  <si>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</si>
  <si>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</si>
  <si>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</si>
  <si>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</si>
  <si>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</si>
  <si>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</si>
  <si>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</si>
  <si>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</si>
  <si>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</si>
  <si>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</si>
  <si>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</si>
  <si>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</si>
  <si>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</si>
  <si>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</si>
  <si>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</si>
  <si>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</si>
  <si>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</si>
  <si>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</si>
  <si>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</si>
  <si>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</si>
  <si>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</si>
  <si>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</si>
  <si>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</si>
  <si>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</si>
  <si>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</si>
  <si>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</si>
  <si>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</si>
  <si>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</si>
  <si>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</si>
  <si>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</si>
  <si>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</si>
  <si>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</si>
  <si>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</si>
  <si>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</si>
  <si>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</si>
  <si>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</si>
  <si>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</si>
  <si>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</si>
  <si>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</si>
  <si>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</si>
  <si>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</si>
  <si>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</si>
  <si>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</si>
  <si>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</si>
  <si>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</si>
  <si>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</si>
  <si>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</si>
  <si>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</si>
  <si>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</si>
  <si>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</si>
  <si>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</si>
  <si>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</si>
  <si>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</si>
  <si>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</si>
  <si>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</si>
  <si>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</si>
  <si>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</si>
  <si>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</si>
  <si>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</si>
  <si>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</si>
  <si>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</si>
  <si>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</si>
  <si>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</si>
  <si>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</si>
  <si>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</si>
  <si>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</si>
  <si>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</si>
  <si>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</si>
  <si>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</si>
  <si>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</si>
  <si>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</si>
  <si>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</si>
  <si>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</si>
  <si>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</si>
  <si>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</si>
  <si>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</si>
  <si>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</si>
  <si>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</si>
  <si>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</si>
  <si>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</si>
  <si>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</si>
  <si>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</si>
  <si>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</si>
  <si>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</si>
  <si>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</si>
  <si>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</si>
  <si>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</si>
  <si>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</si>
  <si>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</si>
  <si>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</si>
  <si>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</si>
  <si>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</si>
  <si>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</si>
  <si>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</si>
  <si>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</si>
  <si>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</si>
  <si>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</si>
  <si>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</si>
  <si>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</si>
  <si>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</si>
  <si>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</si>
  <si>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</si>
  <si>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</si>
  <si>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</si>
  <si>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</si>
  <si>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</si>
  <si>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</si>
  <si>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</si>
  <si>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</si>
  <si>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</si>
  <si>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</si>
  <si>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</si>
  <si>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</si>
  <si>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</si>
  <si>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</si>
  <si>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</si>
  <si>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</si>
  <si>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</si>
  <si>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</si>
  <si>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</si>
  <si>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</si>
  <si>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</si>
  <si>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</si>
  <si>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</si>
  <si>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</si>
  <si>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</si>
  <si>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</si>
  <si>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</si>
  <si>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</si>
  <si>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</si>
  <si>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</si>
  <si>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</si>
  <si>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</si>
  <si>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</si>
  <si>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</si>
  <si>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</si>
  <si>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</si>
  <si>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</si>
  <si>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</si>
  <si>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</si>
  <si>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</si>
  <si>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</si>
  <si>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</si>
  <si>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</si>
  <si>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</si>
  <si>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</si>
  <si>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</si>
  <si>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</si>
  <si>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</si>
  <si>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</si>
  <si>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</si>
  <si>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</si>
  <si>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</si>
  <si>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</si>
  <si>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</si>
  <si>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</si>
  <si>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</si>
  <si>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</si>
  <si>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</si>
  <si>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</si>
  <si>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</si>
  <si>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</si>
  <si>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</si>
  <si>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</si>
  <si>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</si>
  <si>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</si>
  <si>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</si>
  <si>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</si>
  <si>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</si>
  <si>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</si>
  <si>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</si>
  <si>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</si>
  <si>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</si>
  <si>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</si>
  <si>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</si>
  <si>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</si>
  <si>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</si>
  <si>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</si>
  <si>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</si>
  <si>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</si>
  <si>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</si>
  <si>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</si>
  <si>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</si>
  <si>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</si>
  <si>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</si>
  <si>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</si>
  <si>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</si>
  <si>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</si>
  <si>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</si>
  <si>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</si>
  <si>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</si>
  <si>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</si>
  <si>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</si>
  <si>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</si>
  <si>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</si>
  <si>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</si>
  <si>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</si>
  <si>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</si>
  <si>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</si>
  <si>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</si>
  <si>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</si>
  <si>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</si>
  <si>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</si>
  <si>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</si>
  <si>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</si>
  <si>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</si>
  <si>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</si>
  <si>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</si>
  <si>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</si>
  <si>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</si>
  <si>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</si>
  <si>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</si>
  <si>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</si>
  <si>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</si>
  <si>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</si>
  <si>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</si>
  <si>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</si>
  <si>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</si>
  <si>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</si>
  <si>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</si>
  <si>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</si>
  <si>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</si>
  <si>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</si>
  <si>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</si>
  <si>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</si>
  <si>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</si>
  <si>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</si>
  <si>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</si>
  <si>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</si>
  <si>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</si>
  <si>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</si>
  <si>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</si>
  <si>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</si>
  <si>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</si>
  <si>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</si>
  <si>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</si>
  <si>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</si>
  <si>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</si>
  <si>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</si>
  <si>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</si>
  <si>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</si>
  <si>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</si>
  <si>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</si>
  <si>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</si>
  <si>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</si>
  <si>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</si>
  <si>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</si>
  <si>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</si>
  <si>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</si>
  <si>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</si>
  <si>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</si>
  <si>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</si>
  <si>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</si>
  <si>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</si>
  <si>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</si>
  <si>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</si>
  <si>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</si>
  <si>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</si>
  <si>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</si>
  <si>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</si>
  <si>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</si>
  <si>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</si>
  <si>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</si>
  <si>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</si>
  <si>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</si>
  <si>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</si>
  <si>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</si>
  <si>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</si>
  <si>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</si>
  <si>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</si>
  <si>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</si>
  <si>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</si>
  <si>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</si>
  <si>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</si>
  <si>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</si>
  <si>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</si>
  <si>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</si>
  <si>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</si>
  <si>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</si>
  <si>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</si>
  <si>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</si>
  <si>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</si>
  <si>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</si>
  <si>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</si>
  <si>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</si>
  <si>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</si>
  <si>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</si>
  <si>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</si>
  <si>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</si>
  <si>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</si>
  <si>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</si>
  <si>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</si>
  <si>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</si>
  <si>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</si>
  <si>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</si>
  <si>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</si>
  <si>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</si>
  <si>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</si>
  <si>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</si>
  <si>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</si>
  <si>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</si>
  <si>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</si>
  <si>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</si>
  <si>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</si>
  <si>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</si>
  <si>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</si>
  <si>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</si>
  <si>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</si>
  <si>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</si>
  <si>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</si>
  <si>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</si>
  <si>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</si>
  <si>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</si>
  <si>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</si>
  <si>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</si>
  <si>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</si>
  <si>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</si>
  <si>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</si>
  <si>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</si>
  <si>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</si>
  <si>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</si>
  <si>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</si>
  <si>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</si>
  <si>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</si>
  <si>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</si>
  <si>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</si>
  <si>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</si>
  <si>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</si>
  <si>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</si>
  <si>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</si>
  <si>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</si>
  <si>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</si>
  <si>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</si>
  <si>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</si>
  <si>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</si>
  <si>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</si>
  <si>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</si>
  <si>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</si>
  <si>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</si>
  <si>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</si>
  <si>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</si>
  <si>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</si>
  <si>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</si>
  <si>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</si>
  <si>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</si>
  <si>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</si>
  <si>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</si>
  <si>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</si>
  <si>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</si>
  <si>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</si>
  <si>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</si>
  <si>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</si>
  <si>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</si>
  <si>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</si>
  <si>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</si>
  <si>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</si>
  <si>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</si>
  <si>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</si>
  <si>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</si>
  <si>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</si>
  <si>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</si>
  <si>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</si>
  <si>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</si>
  <si>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</si>
  <si>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</si>
  <si>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</si>
  <si>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</si>
  <si>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</si>
  <si>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</si>
  <si>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</si>
  <si>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</si>
  <si>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</si>
  <si>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</si>
  <si>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</si>
  <si>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</si>
  <si>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</si>
  <si>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</si>
  <si>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</si>
  <si>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</si>
  <si>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</si>
  <si>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</si>
  <si>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</si>
  <si>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</si>
  <si>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</si>
  <si>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</si>
  <si>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</si>
  <si>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</si>
  <si>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</si>
  <si>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</si>
  <si>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</si>
  <si>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</si>
  <si>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</si>
  <si>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</si>
  <si>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</si>
  <si>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</si>
  <si>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</si>
  <si>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</si>
  <si>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</si>
  <si>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</si>
  <si>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</si>
  <si>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</si>
  <si>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</si>
  <si>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</si>
  <si>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</si>
  <si>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</si>
  <si>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</si>
  <si>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</si>
  <si>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</si>
  <si>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</si>
  <si>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</si>
  <si>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</si>
  <si>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</si>
  <si>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</si>
  <si>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</si>
  <si>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</si>
  <si>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</si>
  <si>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</si>
  <si>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</si>
  <si>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</si>
  <si>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</si>
  <si>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</si>
  <si>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</si>
  <si>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</si>
  <si>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</si>
  <si>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</si>
  <si>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</si>
  <si>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</si>
  <si>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</si>
  <si>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</si>
  <si>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</si>
  <si>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</si>
  <si>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</si>
  <si>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</si>
  <si>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</si>
  <si>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</si>
  <si>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</si>
  <si>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</si>
  <si>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</si>
  <si>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</si>
  <si>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</si>
  <si>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</si>
  <si>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</si>
  <si>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</si>
  <si>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</si>
  <si>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</si>
  <si>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</si>
  <si>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</si>
  <si>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</si>
  <si>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</si>
  <si>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</si>
  <si>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</si>
  <si>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</si>
  <si>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</si>
  <si>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</si>
  <si>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</si>
  <si>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</si>
  <si>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</si>
  <si>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</si>
  <si>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</si>
  <si>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</si>
  <si>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</si>
  <si>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</si>
  <si>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</si>
  <si>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</si>
  <si>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</si>
  <si>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</si>
  <si>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</si>
  <si>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</si>
  <si>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</si>
  <si>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</si>
  <si>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</si>
  <si>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</si>
  <si>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</si>
  <si>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</si>
  <si>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</si>
  <si>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</si>
  <si>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</si>
  <si>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</si>
  <si>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</si>
  <si>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</si>
  <si>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</si>
  <si>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</si>
  <si>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</si>
  <si>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</si>
  <si>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</si>
  <si>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</si>
  <si>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</si>
  <si>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</si>
  <si>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</si>
  <si>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</si>
  <si>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</si>
  <si>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</si>
  <si>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</si>
  <si>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</si>
  <si>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</si>
  <si>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</si>
  <si>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</si>
  <si>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</si>
  <si>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</si>
  <si>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</si>
  <si>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</si>
  <si>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</si>
  <si>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</si>
  <si>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</si>
  <si>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</si>
  <si>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</si>
  <si>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</si>
  <si>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</si>
  <si>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</si>
  <si>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</si>
  <si>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</si>
  <si>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</si>
  <si>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</si>
  <si>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</si>
  <si>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</si>
  <si>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</si>
  <si>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</si>
  <si>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</si>
  <si>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</si>
  <si>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</si>
  <si>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</si>
  <si>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</si>
  <si>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</si>
  <si>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</si>
  <si>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</si>
  <si>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</si>
  <si>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</si>
  <si>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</si>
  <si>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</si>
  <si>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</si>
  <si>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</si>
  <si>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</si>
  <si>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</si>
  <si>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</si>
  <si>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</si>
  <si>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</si>
  <si>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</si>
  <si>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</si>
  <si>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</si>
  <si>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</si>
  <si>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</si>
  <si>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</si>
  <si>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</si>
  <si>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</si>
  <si>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</si>
  <si>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</si>
  <si>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</si>
  <si>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</si>
  <si>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</si>
  <si>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</si>
  <si>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</si>
  <si>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</si>
  <si>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</si>
  <si>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</si>
  <si>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</si>
  <si>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</si>
  <si>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</si>
  <si>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</si>
  <si>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</si>
  <si>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</si>
  <si>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</si>
  <si>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</si>
  <si>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</si>
  <si>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</si>
  <si>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</si>
  <si>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</si>
  <si>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</si>
  <si>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</si>
  <si>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</si>
  <si>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</si>
  <si>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</si>
  <si>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</si>
  <si>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</si>
  <si>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</si>
  <si>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</si>
  <si>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</si>
  <si>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</si>
  <si>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</si>
  <si>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</si>
  <si>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</si>
  <si>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</si>
  <si>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</si>
  <si>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</si>
  <si>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</si>
  <si>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</si>
  <si>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</si>
  <si>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</si>
  <si>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</si>
  <si>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</si>
  <si>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</si>
  <si>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</si>
  <si>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</si>
  <si>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</si>
  <si>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</si>
  <si>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</si>
  <si>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</si>
  <si>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</si>
  <si>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</si>
  <si>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</si>
  <si>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</si>
  <si>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</si>
  <si>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</si>
  <si>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</si>
  <si>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</si>
  <si>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</si>
  <si>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</si>
  <si>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</si>
  <si>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</si>
  <si>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</si>
  <si>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</si>
  <si>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</si>
  <si>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</si>
  <si>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</si>
  <si>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</si>
  <si>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</si>
  <si>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</si>
  <si>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</si>
  <si>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</si>
  <si>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</si>
  <si>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</si>
  <si>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</si>
  <si>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</si>
  <si>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</si>
  <si>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</si>
  <si>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</si>
  <si>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</si>
  <si>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</si>
  <si>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</si>
  <si>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</si>
  <si>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</si>
  <si>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</si>
  <si>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</si>
  <si>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</si>
  <si>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</si>
  <si>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</si>
  <si>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</si>
  <si>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</si>
  <si>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</si>
  <si>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</si>
  <si>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</si>
  <si>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</si>
  <si>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</si>
  <si>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</si>
  <si>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</si>
  <si>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</si>
  <si>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</si>
  <si>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</si>
  <si>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</si>
  <si>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</si>
  <si>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</si>
  <si>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</si>
  <si>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</si>
  <si>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</si>
  <si>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</si>
  <si>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</si>
  <si>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</si>
  <si>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</si>
  <si>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</si>
  <si>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</si>
  <si>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</si>
  <si>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</si>
  <si>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</si>
  <si>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</si>
  <si>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</si>
  <si>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</si>
  <si>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</si>
  <si>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</si>
  <si>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</si>
  <si>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</si>
  <si>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</si>
  <si>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</si>
  <si>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</si>
  <si>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</si>
  <si>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</si>
  <si>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</si>
  <si>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</si>
  <si>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</si>
  <si>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</si>
  <si>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</si>
  <si>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</si>
  <si>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</si>
  <si>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</si>
  <si>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</si>
  <si>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</si>
  <si>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</si>
  <si>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</si>
  <si>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</si>
  <si>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</si>
  <si>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</si>
  <si>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</si>
  <si>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</si>
  <si>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</si>
  <si>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</si>
  <si>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</si>
  <si>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</si>
  <si>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</si>
  <si>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</si>
  <si>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</si>
  <si>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</si>
  <si>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</si>
  <si>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</si>
  <si>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</si>
  <si>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</si>
  <si>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</si>
  <si>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</si>
  <si>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</si>
  <si>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</si>
  <si>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</si>
  <si>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</si>
  <si>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</si>
  <si>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</si>
  <si>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</si>
  <si>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</si>
  <si>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</si>
  <si>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</si>
  <si>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</si>
  <si>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</si>
  <si>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</si>
  <si>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</si>
  <si>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</si>
  <si>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</si>
  <si>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</si>
  <si>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</si>
  <si>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</si>
  <si>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</si>
  <si>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</si>
  <si>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</si>
  <si>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</si>
  <si>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</si>
  <si>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</si>
  <si>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</si>
  <si>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</si>
  <si>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</si>
  <si>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</si>
  <si>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</si>
  <si>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</si>
  <si>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</si>
  <si>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</si>
  <si>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</si>
  <si>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</si>
  <si>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</si>
  <si>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</si>
  <si>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</si>
  <si>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</si>
  <si>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</si>
  <si>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</si>
  <si>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</si>
  <si>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</si>
  <si>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</si>
  <si>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</si>
  <si>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</si>
  <si>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</si>
  <si>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</si>
  <si>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</si>
  <si>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</si>
  <si>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</si>
  <si>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</si>
  <si>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</si>
  <si>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</si>
  <si>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</si>
  <si>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</si>
  <si>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</si>
  <si>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</si>
  <si>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</si>
  <si>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</si>
  <si>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</si>
  <si>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</si>
  <si>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</si>
  <si>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</si>
  <si>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</si>
  <si>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</si>
  <si>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</si>
  <si>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</si>
  <si>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</si>
  <si>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</si>
  <si>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</si>
  <si>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</si>
  <si>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</si>
  <si>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</si>
  <si>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</si>
  <si>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</si>
  <si>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</si>
  <si>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</si>
  <si>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</si>
  <si>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</si>
  <si>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</si>
  <si>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</si>
  <si>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</si>
  <si>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</si>
  <si>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</si>
  <si>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</si>
  <si>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</si>
  <si>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</si>
  <si>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</si>
  <si>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</si>
  <si>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</si>
  <si>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</si>
  <si>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</si>
  <si>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</si>
  <si>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</si>
  <si>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</si>
  <si>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</si>
  <si>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</si>
  <si>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</si>
  <si>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</si>
  <si>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</si>
  <si>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</si>
  <si>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</si>
  <si>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</si>
  <si>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</si>
  <si>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</si>
  <si>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</si>
  <si>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</si>
  <si>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</si>
  <si>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</si>
  <si>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</si>
  <si>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</si>
  <si>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</si>
  <si>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</si>
  <si>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</si>
  <si>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</si>
  <si>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</si>
  <si>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</si>
  <si>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</si>
  <si>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</si>
  <si>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</si>
  <si>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</si>
  <si>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</si>
  <si>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</si>
  <si>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</si>
  <si>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</si>
  <si>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</si>
  <si>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</si>
  <si>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</si>
  <si>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</si>
  <si>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</si>
  <si>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</si>
  <si>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</si>
  <si>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</si>
  <si>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</si>
  <si>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</si>
  <si>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</si>
  <si>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</si>
  <si>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</si>
  <si>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</si>
  <si>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</si>
  <si>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</si>
  <si>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</si>
  <si>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</si>
  <si>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</si>
  <si>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</si>
  <si>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</si>
  <si>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</si>
  <si>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</si>
  <si>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</si>
  <si>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</si>
  <si>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</si>
  <si>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</si>
  <si>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</si>
  <si>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</si>
  <si>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</si>
  <si>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</si>
  <si>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</si>
  <si>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</si>
  <si>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</si>
  <si>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</si>
  <si>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</si>
  <si>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</si>
  <si>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</si>
  <si>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</si>
  <si>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</si>
  <si>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</si>
  <si>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</si>
  <si>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</si>
  <si>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</si>
  <si>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</si>
  <si>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</si>
  <si>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</si>
  <si>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</si>
  <si>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</si>
  <si>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</si>
  <si>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</si>
  <si>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</si>
  <si>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</si>
  <si>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</si>
  <si>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</si>
  <si>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</si>
  <si>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</si>
  <si>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</si>
  <si>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</si>
  <si>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</si>
  <si>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</si>
  <si>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</si>
  <si>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</si>
  <si>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</si>
  <si>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</si>
  <si>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</si>
  <si>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</si>
  <si>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</si>
  <si>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</si>
  <si>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</si>
  <si>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</si>
  <si>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</si>
  <si>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</si>
  <si>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</si>
  <si>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</si>
  <si>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</si>
  <si>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</si>
  <si>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</si>
  <si>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</si>
  <si>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</si>
  <si>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</si>
  <si>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</si>
  <si>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</si>
  <si>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</si>
  <si>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</si>
  <si>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</si>
  <si>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</si>
  <si>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</si>
  <si>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</si>
  <si>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</si>
  <si>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</si>
  <si>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</si>
  <si>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</si>
  <si>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</si>
  <si>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</si>
  <si>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</si>
  <si>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</si>
  <si>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</si>
  <si>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</si>
  <si>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</si>
  <si>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</si>
  <si>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</si>
  <si>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</si>
  <si>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</si>
  <si>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</si>
  <si>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</si>
  <si>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</si>
  <si>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</si>
  <si>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</si>
  <si>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</si>
  <si>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</si>
  <si>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</si>
  <si>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</si>
  <si>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</si>
  <si>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</si>
  <si>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</si>
  <si>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</si>
  <si>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</si>
  <si>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</si>
  <si>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</si>
  <si>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</si>
  <si>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</si>
  <si>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</si>
  <si>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</si>
  <si>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</si>
  <si>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</si>
  <si>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</si>
  <si>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</si>
  <si>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</si>
  <si>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</si>
  <si>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</si>
  <si>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</si>
  <si>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</si>
  <si>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</si>
  <si>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</si>
  <si>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</si>
  <si>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</si>
  <si>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</si>
  <si>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</si>
  <si>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</si>
  <si>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</si>
  <si>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</si>
  <si>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</si>
  <si>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</si>
  <si>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</si>
  <si>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</si>
  <si>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</si>
  <si>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</si>
  <si>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</si>
  <si>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</si>
  <si>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</si>
  <si>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</si>
  <si>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</si>
  <si>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</si>
  <si>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</si>
  <si>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</si>
  <si>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</si>
  <si>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</si>
  <si>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</si>
  <si>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</si>
  <si>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</si>
  <si>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</si>
  <si>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</si>
  <si>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</si>
  <si>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</si>
  <si>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</si>
  <si>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</si>
  <si>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</si>
  <si>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</si>
  <si>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</si>
  <si>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</si>
  <si>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</si>
  <si>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</si>
  <si>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</si>
  <si>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</si>
  <si>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</si>
  <si>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</si>
  <si>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</si>
  <si>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</si>
  <si>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</si>
  <si>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</si>
  <si>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</si>
  <si>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</si>
  <si>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</si>
  <si>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</si>
  <si>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</si>
  <si>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</si>
  <si>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</si>
  <si>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</si>
  <si>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</si>
  <si>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</si>
  <si>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</si>
  <si>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</si>
  <si>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</si>
  <si>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</si>
  <si>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</si>
  <si>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</si>
  <si>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</si>
  <si>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</si>
  <si>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</si>
  <si>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</si>
  <si>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</si>
  <si>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</si>
  <si>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</si>
  <si>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</si>
  <si>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</si>
  <si>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</si>
  <si>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</si>
  <si>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</si>
  <si>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</si>
  <si>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</si>
  <si>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</si>
  <si>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</si>
  <si>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</si>
  <si>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</si>
  <si>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</si>
  <si>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</si>
  <si>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</si>
  <si>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</si>
  <si>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</si>
  <si>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</si>
  <si>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</si>
  <si>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</si>
  <si>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</si>
  <si>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</si>
  <si>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</si>
  <si>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</si>
  <si>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</si>
  <si>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</si>
  <si>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</si>
  <si>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</si>
  <si>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</si>
  <si>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</si>
  <si>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</si>
  <si>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</si>
  <si>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</si>
  <si>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</si>
  <si>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</si>
  <si>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</si>
  <si>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</si>
  <si>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</si>
  <si>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</si>
  <si>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</si>
  <si>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</si>
  <si>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</si>
  <si>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</si>
  <si>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</si>
  <si>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</si>
  <si>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</si>
  <si>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</si>
  <si>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</si>
  <si>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</si>
  <si>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</si>
  <si>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</si>
  <si>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</si>
  <si>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</si>
  <si>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</si>
  <si>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</si>
  <si>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</si>
  <si>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</si>
  <si>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</si>
  <si>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</si>
  <si>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</si>
  <si>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</si>
  <si>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</si>
  <si>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</si>
  <si>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</si>
  <si>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</si>
  <si>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</si>
  <si>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</si>
  <si>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</si>
  <si>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</si>
  <si>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</si>
  <si>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</si>
  <si>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</si>
  <si>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</si>
  <si>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</si>
  <si>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</si>
  <si>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</si>
  <si>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</si>
  <si>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</si>
  <si>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</si>
  <si>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</si>
  <si>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</si>
  <si>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</si>
  <si>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</si>
  <si>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</si>
  <si>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</si>
  <si>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</si>
  <si>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</si>
  <si>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</si>
  <si>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</si>
  <si>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</si>
  <si>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</si>
  <si>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</si>
  <si>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</si>
  <si>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</si>
  <si>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</si>
  <si>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</si>
  <si>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</si>
  <si>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</si>
  <si>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</si>
  <si>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</si>
  <si>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</si>
  <si>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</si>
  <si>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</si>
  <si>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</si>
  <si>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</si>
  <si>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</si>
  <si>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</si>
  <si>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</si>
  <si>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</si>
  <si>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</si>
  <si>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</si>
  <si>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</si>
  <si>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</si>
  <si>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</si>
  <si>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</si>
  <si>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</si>
  <si>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</si>
  <si>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</si>
  <si>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</si>
  <si>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</si>
  <si>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</si>
  <si>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</si>
  <si>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</si>
  <si>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</si>
  <si>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</si>
  <si>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</si>
  <si>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</si>
  <si>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</si>
  <si>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</si>
  <si>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</si>
  <si>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</si>
  <si>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</si>
  <si>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</si>
  <si>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</si>
  <si>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</si>
  <si>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</si>
  <si>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</si>
  <si>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</si>
  <si>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</si>
  <si>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</si>
  <si>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</si>
  <si>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</si>
  <si>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</si>
  <si>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</si>
  <si>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</si>
  <si>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</si>
  <si>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</si>
  <si>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</si>
  <si>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</si>
  <si>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</si>
  <si>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</si>
  <si>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</si>
  <si>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</si>
  <si>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</si>
  <si>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</si>
  <si>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</si>
  <si>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</si>
  <si>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</si>
  <si>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</si>
  <si>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</si>
  <si>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</si>
  <si>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</si>
  <si>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</si>
  <si>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</si>
  <si>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</si>
  <si>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</si>
  <si>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</si>
  <si>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</si>
  <si>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</si>
  <si>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</si>
  <si>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</si>
  <si>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</si>
  <si>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</si>
  <si>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</si>
  <si>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</si>
  <si>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</si>
  <si>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</si>
  <si>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</si>
  <si>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</si>
  <si>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</si>
  <si>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</si>
  <si>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</si>
  <si>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</si>
  <si>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</si>
  <si>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</si>
  <si>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</si>
  <si>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</si>
  <si>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</si>
  <si>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</si>
  <si>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</si>
  <si>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</si>
  <si>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</si>
  <si>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</si>
  <si>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</si>
  <si>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</si>
  <si>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</si>
  <si>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</si>
  <si>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</si>
  <si>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</si>
  <si>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</si>
  <si>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</si>
  <si>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</si>
  <si>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</si>
  <si>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</si>
  <si>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</si>
  <si>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</si>
  <si>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</si>
  <si>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</si>
  <si>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</si>
  <si>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</si>
  <si>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</si>
  <si>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</si>
  <si>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</si>
  <si>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</si>
  <si>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</si>
  <si>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</si>
  <si>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</si>
  <si>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</si>
  <si>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</si>
  <si>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</si>
  <si>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</si>
  <si>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</si>
  <si>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</si>
  <si>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</si>
  <si>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</si>
  <si>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</si>
  <si>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</si>
  <si>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</si>
  <si>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</si>
  <si>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</si>
  <si>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</si>
  <si>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</si>
  <si>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</si>
  <si>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</si>
  <si>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</si>
  <si>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</si>
  <si>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</si>
  <si>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</si>
  <si>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</si>
  <si>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</si>
  <si>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</si>
  <si>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</si>
  <si>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</si>
  <si>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</si>
  <si>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</si>
  <si>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</si>
  <si>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</si>
  <si>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</si>
  <si>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</si>
  <si>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</si>
  <si>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</si>
  <si>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</si>
  <si>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</si>
  <si>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</si>
  <si>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</si>
  <si>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</si>
  <si>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</si>
  <si>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</si>
  <si>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</si>
  <si>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</si>
  <si>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</si>
  <si>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</si>
  <si>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</si>
  <si>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</si>
  <si>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</si>
  <si>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</si>
  <si>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</si>
  <si>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</si>
  <si>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</si>
  <si>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</si>
  <si>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</si>
  <si>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</si>
  <si>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</si>
  <si>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</si>
  <si>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</si>
  <si>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</si>
  <si>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</si>
  <si>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</si>
  <si>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</si>
  <si>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</si>
  <si>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</si>
  <si>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</si>
  <si>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</si>
  <si>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</si>
  <si>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</si>
  <si>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</si>
  <si>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</si>
  <si>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</si>
  <si>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</si>
  <si>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</si>
  <si>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</si>
  <si>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</si>
  <si>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</si>
  <si>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</si>
  <si>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</si>
  <si>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</si>
  <si>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</si>
  <si>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</si>
  <si>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</si>
  <si>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</si>
  <si>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</si>
  <si>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</si>
  <si>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</si>
  <si>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</si>
  <si>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</si>
  <si>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</si>
  <si>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</si>
  <si>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</si>
  <si>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</si>
  <si>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</si>
  <si>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</si>
  <si>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</si>
  <si>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</si>
  <si>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</si>
  <si>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</si>
  <si>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</si>
  <si>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</si>
  <si>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</si>
  <si>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</si>
  <si>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</si>
  <si>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</si>
  <si>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</si>
  <si>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</si>
  <si>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</si>
  <si>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</si>
  <si>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</si>
  <si>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</si>
  <si>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</si>
  <si>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</si>
  <si>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</si>
  <si>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</si>
  <si>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</si>
  <si>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</si>
  <si>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</si>
  <si>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</si>
  <si>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</si>
  <si>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</si>
  <si>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</si>
  <si>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</si>
  <si>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</si>
  <si>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</si>
  <si>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</si>
  <si>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</si>
  <si>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</si>
  <si>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</si>
  <si>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</si>
  <si>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</si>
  <si>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</si>
  <si>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</si>
  <si>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</si>
  <si>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</si>
  <si>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</si>
  <si>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</si>
  <si>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</si>
  <si>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</si>
  <si>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</si>
  <si>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</si>
  <si>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</si>
  <si>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</si>
  <si>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</si>
  <si>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</si>
  <si>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</si>
  <si>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</si>
  <si>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</si>
  <si>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</si>
  <si>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</si>
  <si>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</si>
  <si>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</si>
  <si>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</si>
  <si>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</si>
  <si>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</si>
  <si>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</si>
  <si>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</si>
  <si>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</si>
  <si>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</si>
  <si>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</si>
  <si>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</si>
  <si>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</si>
  <si>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</si>
  <si>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</si>
  <si>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</si>
  <si>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</si>
  <si>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</si>
  <si>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</si>
  <si>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</si>
  <si>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</si>
  <si>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</si>
  <si>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</si>
  <si>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</si>
  <si>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</si>
  <si>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</si>
  <si>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</si>
  <si>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</si>
  <si>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</si>
  <si>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</si>
  <si>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</si>
  <si>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</si>
  <si>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</si>
  <si>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</si>
  <si>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</si>
  <si>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</si>
  <si>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</si>
  <si>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</si>
  <si>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</si>
  <si>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</si>
  <si>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</si>
  <si>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</si>
  <si>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</si>
  <si>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</si>
  <si>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</si>
  <si>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</si>
  <si>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</si>
  <si>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</si>
  <si>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</si>
  <si>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</si>
  <si>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</si>
  <si>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</si>
  <si>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</si>
  <si>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</si>
  <si>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</si>
  <si>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</si>
  <si>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</si>
  <si>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</si>
  <si>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</si>
  <si>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</si>
  <si>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</si>
  <si>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</si>
  <si>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</si>
  <si>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</si>
  <si>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</si>
  <si>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</si>
  <si>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</si>
  <si>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</si>
  <si>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</si>
  <si>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</si>
  <si>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</si>
  <si>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</si>
  <si>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</si>
  <si>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</si>
  <si>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</si>
  <si>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</si>
  <si>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</si>
  <si>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</si>
  <si>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</si>
  <si>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</si>
  <si>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</si>
  <si>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</si>
  <si>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</si>
  <si>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</si>
  <si>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</si>
  <si>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</si>
  <si>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</si>
  <si>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</si>
  <si>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</si>
  <si>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</si>
  <si>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</si>
  <si>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</si>
  <si>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</si>
  <si>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</si>
  <si>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</si>
  <si>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</si>
  <si>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</si>
  <si>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</si>
  <si>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</si>
  <si>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</si>
  <si>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</si>
  <si>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</si>
  <si>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</si>
  <si>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</si>
  <si>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</si>
  <si>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</si>
  <si>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</si>
  <si>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</si>
  <si>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</si>
  <si>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</si>
  <si>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</si>
  <si>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</si>
  <si>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</si>
  <si>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</si>
  <si>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</si>
  <si>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</si>
  <si>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</si>
  <si>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</si>
  <si>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</si>
  <si>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</si>
  <si>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</si>
  <si>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</si>
  <si>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</si>
  <si>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</si>
  <si>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</si>
  <si>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</si>
  <si>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</si>
  <si>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</si>
  <si>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</si>
  <si>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</si>
  <si>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</si>
  <si>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</si>
  <si>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</si>
  <si>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</si>
  <si>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</si>
  <si>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</si>
  <si>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</si>
  <si>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</si>
  <si>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</si>
  <si>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</si>
  <si>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</si>
  <si>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</si>
  <si>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</si>
  <si>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</si>
  <si>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</si>
  <si>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</si>
  <si>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</si>
  <si>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</si>
  <si>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</si>
  <si>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</si>
  <si>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</si>
  <si>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</si>
  <si>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</si>
  <si>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</si>
  <si>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</si>
  <si>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</si>
  <si>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</si>
  <si>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</si>
  <si>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</si>
  <si>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</si>
  <si>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</si>
  <si>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</si>
  <si>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</si>
  <si>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</si>
  <si>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</si>
  <si>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</si>
  <si>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</si>
  <si>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</si>
  <si>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</si>
  <si>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</si>
  <si>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</si>
  <si>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</si>
  <si>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</si>
  <si>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</si>
  <si>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</si>
  <si>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</si>
  <si>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</si>
  <si>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</si>
  <si>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</si>
  <si>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</si>
  <si>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</si>
  <si>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</si>
  <si>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</si>
  <si>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</si>
  <si>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</si>
  <si>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</si>
  <si>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</si>
  <si>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</si>
  <si>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</si>
  <si>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</si>
  <si>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</si>
  <si>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</si>
  <si>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</si>
  <si>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</si>
  <si>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</si>
  <si>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</si>
  <si>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</si>
  <si>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</si>
  <si>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</si>
  <si>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</si>
  <si>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</si>
  <si>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</si>
  <si>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</si>
  <si>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</si>
  <si>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</si>
  <si>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</si>
  <si>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</si>
  <si>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</si>
  <si>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</si>
  <si>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</si>
  <si>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</si>
  <si>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</si>
  <si>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</si>
  <si>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</si>
  <si>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</si>
  <si>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</si>
  <si>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</si>
  <si>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</si>
  <si>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</si>
  <si>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</si>
  <si>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</si>
  <si>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</si>
  <si>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</si>
  <si>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</si>
  <si>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</si>
  <si>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</si>
  <si>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</si>
  <si>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</si>
  <si>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</si>
  <si>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</si>
  <si>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</si>
  <si>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</si>
  <si>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</si>
  <si>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</si>
  <si>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</si>
  <si>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</si>
  <si>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</si>
  <si>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</si>
  <si>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</si>
  <si>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</si>
  <si>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</si>
  <si>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</si>
  <si>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</si>
  <si>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</si>
  <si>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</si>
  <si>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</si>
  <si>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</si>
  <si>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</si>
  <si>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</si>
  <si>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</si>
  <si>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</si>
  <si>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</si>
  <si>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</si>
  <si>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</si>
  <si>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</si>
  <si>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</si>
  <si>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</si>
  <si>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</si>
  <si>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</si>
  <si>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</si>
  <si>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</si>
  <si>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</si>
  <si>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</si>
  <si>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</si>
  <si>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</si>
  <si>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</si>
  <si>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</si>
  <si>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</si>
  <si>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</si>
  <si>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</si>
  <si>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</si>
  <si>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</si>
  <si>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</si>
  <si>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</si>
  <si>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</si>
  <si>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</si>
  <si>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</si>
  <si>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</si>
  <si>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</si>
  <si>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</si>
  <si>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</si>
  <si>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</si>
  <si>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</si>
  <si>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</si>
  <si>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</si>
  <si>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</si>
  <si>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</si>
  <si>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</si>
  <si>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</si>
  <si>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</si>
  <si>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</si>
  <si>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</si>
  <si>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</si>
  <si>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</si>
  <si>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</si>
  <si>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</si>
  <si>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</si>
  <si>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</si>
  <si>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</si>
  <si>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</si>
  <si>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</si>
  <si>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</si>
  <si>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</si>
  <si>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</si>
  <si>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</si>
  <si>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</si>
  <si>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</si>
  <si>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</si>
  <si>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</si>
  <si>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</si>
  <si>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</si>
  <si>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</si>
  <si>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</si>
  <si>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</si>
  <si>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</si>
  <si>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</si>
  <si>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</si>
  <si>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</si>
  <si>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</si>
  <si>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</si>
  <si>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</si>
  <si>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</si>
  <si>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</si>
  <si>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</si>
  <si>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</si>
  <si>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</si>
  <si>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</si>
  <si>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</si>
  <si>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</si>
  <si>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</si>
  <si>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</si>
  <si>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</si>
  <si>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</si>
  <si>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</si>
  <si>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</si>
  <si>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</si>
  <si>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</si>
  <si>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</si>
  <si>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</si>
  <si>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</si>
  <si>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</si>
  <si>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</si>
  <si>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</si>
  <si>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</si>
  <si>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</si>
  <si>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</si>
  <si>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</si>
  <si>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</si>
  <si>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</si>
  <si>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</si>
  <si>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</si>
  <si>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</si>
  <si>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</si>
  <si>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</si>
  <si>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</si>
  <si>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</si>
  <si>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</si>
  <si>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</si>
  <si>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</si>
  <si>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</si>
  <si>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</si>
  <si>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</si>
  <si>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</si>
  <si>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</si>
  <si>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</si>
  <si>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</si>
  <si>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</si>
  <si>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</si>
  <si>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</si>
  <si>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</si>
  <si>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</si>
  <si>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</si>
  <si>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</si>
  <si>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</si>
  <si>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</si>
  <si>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</si>
  <si>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</si>
  <si>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</si>
  <si>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</si>
  <si>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</si>
  <si>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</si>
  <si>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</si>
  <si>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</si>
  <si>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</si>
  <si>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</si>
  <si>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</si>
  <si>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</si>
  <si>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</si>
  <si>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</si>
  <si>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</si>
  <si>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</si>
  <si>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</si>
  <si>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</si>
  <si>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</si>
  <si>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</si>
  <si>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</si>
  <si>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</si>
  <si>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</si>
  <si>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</si>
  <si>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</si>
  <si>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</si>
  <si>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</si>
  <si>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</si>
  <si>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</si>
  <si>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</si>
  <si>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</si>
  <si>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</si>
  <si>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</si>
  <si>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</si>
  <si>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</si>
  <si>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</si>
  <si>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</si>
  <si>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</si>
  <si>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</si>
  <si>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</si>
  <si>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</si>
  <si>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</si>
  <si>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</si>
  <si>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</si>
  <si>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</si>
  <si>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</si>
  <si>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</si>
  <si>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</si>
  <si>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</si>
  <si>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</si>
  <si>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</si>
  <si>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</si>
  <si>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</si>
  <si>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</si>
  <si>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</si>
  <si>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</si>
  <si>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</si>
  <si>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</si>
  <si>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</si>
  <si>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</si>
  <si>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</si>
  <si>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</si>
  <si>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</si>
  <si>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</si>
  <si>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</si>
  <si>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</si>
  <si>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</si>
  <si>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</si>
  <si>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</si>
  <si>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</si>
  <si>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</si>
  <si>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</si>
  <si>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</si>
  <si>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</si>
  <si>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</si>
  <si>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</si>
  <si>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</si>
  <si>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</si>
  <si>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</si>
  <si>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</si>
  <si>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</si>
  <si>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</si>
  <si>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</si>
  <si>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</si>
  <si>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</si>
  <si>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</si>
  <si>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</si>
  <si>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</si>
  <si>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</si>
  <si>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</si>
  <si>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</si>
  <si>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</si>
  <si>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</si>
  <si>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</si>
  <si>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</si>
  <si>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</si>
  <si>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</si>
  <si>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</si>
  <si>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</si>
  <si>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</si>
  <si>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</si>
  <si>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</si>
  <si>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</si>
  <si>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</si>
  <si>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</si>
  <si>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</si>
  <si>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</si>
  <si>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</si>
  <si>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</si>
  <si>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</si>
  <si>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</si>
  <si>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</si>
  <si>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</si>
  <si>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</si>
  <si>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</si>
  <si>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</si>
  <si>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</si>
  <si>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</si>
  <si>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</si>
  <si>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</si>
  <si>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</si>
  <si>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</si>
  <si>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</si>
  <si>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</si>
  <si>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</si>
  <si>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</si>
  <si>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</si>
  <si>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</si>
  <si>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</si>
  <si>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</si>
  <si>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</si>
  <si>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</si>
  <si>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</si>
  <si>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</si>
  <si>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</si>
  <si>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</si>
  <si>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</si>
  <si>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</si>
  <si>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</si>
  <si>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</si>
  <si>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</si>
  <si>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</si>
  <si>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</si>
  <si>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</si>
  <si>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</si>
  <si>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</si>
  <si>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</si>
  <si>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</si>
  <si>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</si>
  <si>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</si>
  <si>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</si>
  <si>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</si>
  <si>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</si>
  <si>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</si>
  <si>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</si>
  <si>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</si>
  <si>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</si>
  <si>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</si>
  <si>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</si>
  <si>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</si>
  <si>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</si>
  <si>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</si>
  <si>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</si>
  <si>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</si>
  <si>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</si>
  <si>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</si>
  <si>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</si>
  <si>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</si>
  <si>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</si>
  <si>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</si>
  <si>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</si>
  <si>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</si>
  <si>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</si>
  <si>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</si>
  <si>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</si>
  <si>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</si>
  <si>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</si>
  <si>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</si>
  <si>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</si>
  <si>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</si>
  <si>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</si>
  <si>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</si>
  <si>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</si>
  <si>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</si>
  <si>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</si>
  <si>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</si>
  <si>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</si>
  <si>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</si>
  <si>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</si>
  <si>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</si>
  <si>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</si>
  <si>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</si>
  <si>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</si>
  <si>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</si>
  <si>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</si>
  <si>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</si>
  <si>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</si>
  <si>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</si>
  <si>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</si>
  <si>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</si>
  <si>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</si>
  <si>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</si>
  <si>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</si>
  <si>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</si>
  <si>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</si>
  <si>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</si>
  <si>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</si>
  <si>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</si>
  <si>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</si>
  <si>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</si>
  <si>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</si>
  <si>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</si>
  <si>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</si>
  <si>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</si>
  <si>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</si>
  <si>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</si>
  <si>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</si>
  <si>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</si>
  <si>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</si>
  <si>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</si>
  <si>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</si>
  <si>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</si>
  <si>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</si>
  <si>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</si>
  <si>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</si>
  <si>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</si>
  <si>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</si>
  <si>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</si>
  <si>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</si>
  <si>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</si>
  <si>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</si>
  <si>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</si>
  <si>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</si>
  <si>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</si>
  <si>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</si>
  <si>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</si>
  <si>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</si>
  <si>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</si>
  <si>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</si>
  <si>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</si>
  <si>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</si>
  <si>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</si>
  <si>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</si>
  <si>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</si>
  <si>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</si>
  <si>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</si>
  <si>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</si>
  <si>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</si>
  <si>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</si>
  <si>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</si>
  <si>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</si>
  <si>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</si>
  <si>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</si>
  <si>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</si>
  <si>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</si>
  <si>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</si>
  <si>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</si>
  <si>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</si>
  <si>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</si>
  <si>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</si>
  <si>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</si>
  <si>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</si>
  <si>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</si>
  <si>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</si>
  <si>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</si>
  <si>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</si>
  <si>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</si>
  <si>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</si>
  <si>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</si>
  <si>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</si>
  <si>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</si>
  <si>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</si>
  <si>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</si>
  <si>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</si>
  <si>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</si>
  <si>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</si>
  <si>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</si>
  <si>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</si>
  <si>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</si>
  <si>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</si>
  <si>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</si>
  <si>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</si>
  <si>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</si>
  <si>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</si>
  <si>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</si>
  <si>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</si>
  <si>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</si>
  <si>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</si>
  <si>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</si>
  <si>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</si>
  <si>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</si>
  <si>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</si>
  <si>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</si>
  <si>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</si>
  <si>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</si>
  <si>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</si>
  <si>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</si>
  <si>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</si>
  <si>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</si>
  <si>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</si>
  <si>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</si>
  <si>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</si>
  <si>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</si>
  <si>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</si>
  <si>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</si>
  <si>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</si>
  <si>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</si>
  <si>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</si>
  <si>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</si>
  <si>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</si>
  <si>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</si>
  <si>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</si>
  <si>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</si>
  <si>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</si>
  <si>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</si>
  <si>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</si>
  <si>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</si>
  <si>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</si>
  <si>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</si>
  <si>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</si>
  <si>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</si>
  <si>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</si>
  <si>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</si>
  <si>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</si>
  <si>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</si>
  <si>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</si>
  <si>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</si>
  <si>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</si>
  <si>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</si>
  <si>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</si>
  <si>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</si>
  <si>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</si>
  <si>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</si>
  <si>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</si>
  <si>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</si>
  <si>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</si>
  <si>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</si>
  <si>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</si>
  <si>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</si>
  <si>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</si>
  <si>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</si>
  <si>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</si>
  <si>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</si>
  <si>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</si>
  <si>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</si>
  <si>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</si>
  <si>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</si>
  <si>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</si>
  <si>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</si>
  <si>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</si>
  <si>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</si>
  <si>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</si>
  <si>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</si>
  <si>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</si>
  <si>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</si>
  <si>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</si>
  <si>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</si>
  <si>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</si>
  <si>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</si>
  <si>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</si>
  <si>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</si>
  <si>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</si>
  <si>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</si>
  <si>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</si>
  <si>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</si>
  <si>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</si>
  <si>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</si>
  <si>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</si>
  <si>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</si>
  <si>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</si>
  <si>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</si>
  <si>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</si>
  <si>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</si>
  <si>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</si>
  <si>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</si>
  <si>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</si>
  <si>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</si>
  <si>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</si>
  <si>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</si>
  <si>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</si>
  <si>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</si>
  <si>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</si>
  <si>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</si>
  <si>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</si>
  <si>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</si>
  <si>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</si>
  <si>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</si>
  <si>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</si>
  <si>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</si>
  <si>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</si>
  <si>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</si>
  <si>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</si>
  <si>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</si>
  <si>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</si>
  <si>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</si>
  <si>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</si>
  <si>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</si>
  <si>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</si>
  <si>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</si>
  <si>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</si>
  <si>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</si>
  <si>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</si>
  <si>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</si>
  <si>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</si>
  <si>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</si>
  <si>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</si>
  <si>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</si>
  <si>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</si>
  <si>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</si>
  <si>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</si>
  <si>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</si>
  <si>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</si>
  <si>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</si>
  <si>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</si>
  <si>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</si>
  <si>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</si>
  <si>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</si>
  <si>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</si>
  <si>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</si>
  <si>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</si>
  <si>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</si>
  <si>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</si>
  <si>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</si>
  <si>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</si>
  <si>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</si>
  <si>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</si>
  <si>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</si>
  <si>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</si>
  <si>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</si>
  <si>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</si>
  <si>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</si>
  <si>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</si>
  <si>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</si>
  <si>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</si>
  <si>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</si>
  <si>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</si>
  <si>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</si>
  <si>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</si>
  <si>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</si>
  <si>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</si>
  <si>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</si>
  <si>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</si>
  <si>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</si>
  <si>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</si>
  <si>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</si>
  <si>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</si>
  <si>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</si>
  <si>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</si>
  <si>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</si>
  <si>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</si>
  <si>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</si>
  <si>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</si>
  <si>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</si>
  <si>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</si>
  <si>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</si>
  <si>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</si>
  <si>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</si>
  <si>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</si>
  <si>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</si>
  <si>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</si>
  <si>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</si>
  <si>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</si>
  <si>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</si>
  <si>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</si>
  <si>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</si>
  <si>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</si>
  <si>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</si>
  <si>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</si>
  <si>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</si>
  <si>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</si>
  <si>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</si>
  <si>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</si>
  <si>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</si>
  <si>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</si>
  <si>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</si>
  <si>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</si>
  <si>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</si>
  <si>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</si>
  <si>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</si>
  <si>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</si>
  <si>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</si>
  <si>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</si>
  <si>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</si>
  <si>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</si>
  <si>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</si>
  <si>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</si>
  <si>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</si>
  <si>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</si>
  <si>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</si>
  <si>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</si>
  <si>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</si>
  <si>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</si>
  <si>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</si>
  <si>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</si>
  <si>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</si>
  <si>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</si>
  <si>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</si>
  <si>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</si>
  <si>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</si>
  <si>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</si>
  <si>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</si>
  <si>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</si>
  <si>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</si>
  <si>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</si>
  <si>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</si>
  <si>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</si>
  <si>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</si>
  <si>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</si>
  <si>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</si>
  <si>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</si>
  <si>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</si>
  <si>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</si>
  <si>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</si>
  <si>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</si>
  <si>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</si>
  <si>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</si>
  <si>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</si>
  <si>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</si>
  <si>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</si>
  <si>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</si>
  <si>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</si>
  <si>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</si>
  <si>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</si>
  <si>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</si>
  <si>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</si>
  <si>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</si>
  <si>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</si>
  <si>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</si>
  <si>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</si>
  <si>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</si>
  <si>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</si>
  <si>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</si>
  <si>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</si>
  <si>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</si>
  <si>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</si>
  <si>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</si>
  <si>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</si>
  <si>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</si>
  <si>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</si>
  <si>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</si>
  <si>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</si>
  <si>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</si>
  <si>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</si>
  <si>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</si>
  <si>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</si>
  <si>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</si>
  <si>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</si>
  <si>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</si>
  <si>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</si>
  <si>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</si>
  <si>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</si>
  <si>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</si>
  <si>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</si>
  <si>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</si>
  <si>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</si>
  <si>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</si>
  <si>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</si>
  <si>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</si>
  <si>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</si>
  <si>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</si>
  <si>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</si>
  <si>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</si>
  <si>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</si>
  <si>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</si>
  <si>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</si>
  <si>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</si>
  <si>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</si>
  <si>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</si>
  <si>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</si>
  <si>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</si>
  <si>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</si>
  <si>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</si>
  <si>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</si>
  <si>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</si>
  <si>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</si>
  <si>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</si>
  <si>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</si>
  <si>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</si>
  <si>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</si>
  <si>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</si>
  <si>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</si>
  <si>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</si>
  <si>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</si>
  <si>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</si>
  <si>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</si>
  <si>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</si>
  <si>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</si>
  <si>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</si>
  <si>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</si>
  <si>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</si>
  <si>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</si>
  <si>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</si>
  <si>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</si>
  <si>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</si>
  <si>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</si>
  <si>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</si>
  <si>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</si>
  <si>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</si>
  <si>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</si>
  <si>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</si>
  <si>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</si>
  <si>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</si>
  <si>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</si>
  <si>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</si>
  <si>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</si>
  <si>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</si>
  <si>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</si>
  <si>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</si>
  <si>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</si>
  <si>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</si>
  <si>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</si>
  <si>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</si>
  <si>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</si>
  <si>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</si>
  <si>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</si>
  <si>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</si>
  <si>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</si>
  <si>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</si>
  <si>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</si>
  <si>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</si>
  <si>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</si>
  <si>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</si>
  <si>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</si>
  <si>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</si>
  <si>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</si>
  <si>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</si>
  <si>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</si>
  <si>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</si>
  <si>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</si>
  <si>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</si>
  <si>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</si>
  <si>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</si>
  <si>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</si>
  <si>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</si>
  <si>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</si>
  <si>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</si>
  <si>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</si>
  <si>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</si>
  <si>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</si>
  <si>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</si>
  <si>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</si>
  <si>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</si>
  <si>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</si>
  <si>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</si>
  <si>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</si>
  <si>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</si>
  <si>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</si>
  <si>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</si>
  <si>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</si>
  <si>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</si>
  <si>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</si>
  <si>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</si>
  <si>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</si>
  <si>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</si>
  <si>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</si>
  <si>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</si>
  <si>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</si>
  <si>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</si>
  <si>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</si>
  <si>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</si>
  <si>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</si>
  <si>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</si>
  <si>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</si>
  <si>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</si>
  <si>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</si>
  <si>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</si>
  <si>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</si>
  <si>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</si>
  <si>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</si>
  <si>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</si>
  <si>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</si>
  <si>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</si>
  <si>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</si>
  <si>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</si>
  <si>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</si>
  <si>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</si>
  <si>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</si>
  <si>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</si>
  <si>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</si>
  <si>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</si>
  <si>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</si>
  <si>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</si>
  <si>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</si>
  <si>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</si>
  <si>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</si>
  <si>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</si>
  <si>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</si>
  <si>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</si>
  <si>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</si>
  <si>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</si>
  <si>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</si>
  <si>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</si>
  <si>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</si>
  <si>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</si>
  <si>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</si>
  <si>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</si>
  <si>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</si>
  <si>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</si>
  <si>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</si>
  <si>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</si>
  <si>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</si>
  <si>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</si>
  <si>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</si>
  <si>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</si>
  <si>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</si>
  <si>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</si>
  <si>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</si>
  <si>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</si>
  <si>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</si>
  <si>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</si>
  <si>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</si>
  <si>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</si>
  <si>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</si>
  <si>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</si>
  <si>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</si>
  <si>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</si>
  <si>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</si>
  <si>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</si>
  <si>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</si>
  <si>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</si>
  <si>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</si>
  <si>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</si>
  <si>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</si>
  <si>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</si>
  <si>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</si>
  <si>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</si>
  <si>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</si>
  <si>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</si>
  <si>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</si>
  <si>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</si>
  <si>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</si>
  <si>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</si>
  <si>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</si>
  <si>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</si>
  <si>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</si>
  <si>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</si>
  <si>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</si>
  <si>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</si>
  <si>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</si>
  <si>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</si>
  <si>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</si>
  <si>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</si>
  <si>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</si>
  <si>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</si>
  <si>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</si>
  <si>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</si>
  <si>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</si>
  <si>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</si>
  <si>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</si>
  <si>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</si>
  <si>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</si>
  <si>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</si>
  <si>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</si>
  <si>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</si>
  <si>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</si>
  <si>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</si>
  <si>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</si>
  <si>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</si>
  <si>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</si>
  <si>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</si>
  <si>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</si>
  <si>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</si>
  <si>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</si>
  <si>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</si>
  <si>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</si>
  <si>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</si>
  <si>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</si>
  <si>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</si>
  <si>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</si>
  <si>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</si>
  <si>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</si>
  <si>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</si>
  <si>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</si>
  <si>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</si>
  <si>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</si>
  <si>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</si>
  <si>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</si>
  <si>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</si>
  <si>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</si>
  <si>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</si>
  <si>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</si>
  <si>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</si>
  <si>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</si>
  <si>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</si>
  <si>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</si>
  <si>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</si>
  <si>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</si>
  <si>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</si>
  <si>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</si>
  <si>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</si>
  <si>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</si>
  <si>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</si>
  <si>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</si>
  <si>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</si>
  <si>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</si>
  <si>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</si>
  <si>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</si>
  <si>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</si>
  <si>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</si>
  <si>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</si>
  <si>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</si>
  <si>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</si>
  <si>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</si>
  <si>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</si>
  <si>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</si>
  <si>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</si>
  <si>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</si>
  <si>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</si>
  <si>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</si>
  <si>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</si>
  <si>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</si>
  <si>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</si>
  <si>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</si>
  <si>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</si>
  <si>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</si>
  <si>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</si>
  <si>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</si>
  <si>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</si>
  <si>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</si>
  <si>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</si>
  <si>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</si>
  <si>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</si>
  <si>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</si>
  <si>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</si>
  <si>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</si>
  <si>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</si>
  <si>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</si>
  <si>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</si>
  <si>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</si>
  <si>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</si>
  <si>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</si>
  <si>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</si>
  <si>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</si>
  <si>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</si>
  <si>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</si>
  <si>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</si>
  <si>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</si>
  <si>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</si>
  <si>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</si>
  <si>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</si>
  <si>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</si>
  <si>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</si>
  <si>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</si>
  <si>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</si>
  <si>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</si>
  <si>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</si>
  <si>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</si>
  <si>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</si>
  <si>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</si>
  <si>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</si>
  <si>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</si>
  <si>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</si>
  <si>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</si>
  <si>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</si>
  <si>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</si>
  <si>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</si>
  <si>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</si>
  <si>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</si>
  <si>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</si>
  <si>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</si>
  <si>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</si>
  <si>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</si>
  <si>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</si>
  <si>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</si>
  <si>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</si>
  <si>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</si>
  <si>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</si>
  <si>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</si>
  <si>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</si>
  <si>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</si>
  <si>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</si>
  <si>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</si>
  <si>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</si>
  <si>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</si>
  <si>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</si>
  <si>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</si>
  <si>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</si>
  <si>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</si>
  <si>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</si>
  <si>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</si>
  <si>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</si>
  <si>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</si>
  <si>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</si>
  <si>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</si>
  <si>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</si>
  <si>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</si>
  <si>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</si>
  <si>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</si>
  <si>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</si>
  <si>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</si>
  <si>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</si>
  <si>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</si>
  <si>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</si>
  <si>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</si>
  <si>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</si>
  <si>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</si>
  <si>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</si>
  <si>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</si>
  <si>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</si>
  <si>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</si>
  <si>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</si>
  <si>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</si>
  <si>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</si>
  <si>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</si>
  <si>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</si>
  <si>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</si>
  <si>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</si>
  <si>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</si>
  <si>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</si>
  <si>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</si>
  <si>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</si>
  <si>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</si>
  <si>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</si>
  <si>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</si>
  <si>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</si>
  <si>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</si>
  <si>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</si>
  <si>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</si>
  <si>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</si>
  <si>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</si>
  <si>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</si>
  <si>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</si>
  <si>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</si>
  <si>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</si>
  <si>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</si>
  <si>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</si>
  <si>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</si>
  <si>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</si>
  <si>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</si>
  <si>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</si>
  <si>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</si>
  <si>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</si>
  <si>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</si>
  <si>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</si>
  <si>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</si>
  <si>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</si>
  <si>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</si>
  <si>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</si>
  <si>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</si>
  <si>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</si>
  <si>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</si>
  <si>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</si>
  <si>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</si>
  <si>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</si>
  <si>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</si>
  <si>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</si>
  <si>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</si>
  <si>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</si>
  <si>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</si>
  <si>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</si>
  <si>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</si>
  <si>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</si>
  <si>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</si>
  <si>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</si>
  <si>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</si>
  <si>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</si>
  <si>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</si>
  <si>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</si>
  <si>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</si>
  <si>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</si>
  <si>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</si>
  <si>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</si>
  <si>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</si>
  <si>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</si>
  <si>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</si>
  <si>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</si>
  <si>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</si>
  <si>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</si>
  <si>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</si>
  <si>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</si>
  <si>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</si>
  <si>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</si>
  <si>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</si>
  <si>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</si>
  <si>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</si>
  <si>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</si>
  <si>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</si>
  <si>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</si>
  <si>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</si>
  <si>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</si>
  <si>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</si>
  <si>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</si>
  <si>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</si>
  <si>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</si>
  <si>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</si>
  <si>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</si>
  <si>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</si>
  <si>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</si>
  <si>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</si>
  <si>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</si>
  <si>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</si>
  <si>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</si>
  <si>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</si>
  <si>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</si>
  <si>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</si>
  <si>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</si>
  <si>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</si>
  <si>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</si>
  <si>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</si>
  <si>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</si>
  <si>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</si>
  <si>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</si>
  <si>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</si>
  <si>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</si>
  <si>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</si>
  <si>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</si>
  <si>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</si>
  <si>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</si>
  <si>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</si>
  <si>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</si>
  <si>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</si>
  <si>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</si>
  <si>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</si>
  <si>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</si>
  <si>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</si>
  <si>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</si>
  <si>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</si>
  <si>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</si>
  <si>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</si>
  <si>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</si>
  <si>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</si>
  <si>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</si>
  <si>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</si>
  <si>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</si>
  <si>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</si>
  <si>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</si>
  <si>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</si>
  <si>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</si>
  <si>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</si>
  <si>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</si>
  <si>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</si>
  <si>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</si>
  <si>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</si>
  <si>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</si>
  <si>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</si>
  <si>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</si>
  <si>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</si>
  <si>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</si>
  <si>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</si>
  <si>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</si>
  <si>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</si>
  <si>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</si>
  <si>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</si>
  <si>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</si>
  <si>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</si>
  <si>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</si>
  <si>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</si>
  <si>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</si>
  <si>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</si>
  <si>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</si>
  <si>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</si>
  <si>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</si>
  <si>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</si>
  <si>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</si>
  <si>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</si>
  <si>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</si>
  <si>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</si>
  <si>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</si>
  <si>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</si>
  <si>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</si>
  <si>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</si>
  <si>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</si>
  <si>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</si>
  <si>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</si>
  <si>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</si>
  <si>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</si>
  <si>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</si>
  <si>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</si>
  <si>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</si>
  <si>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</si>
  <si>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</si>
  <si>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</si>
  <si>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</si>
  <si>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</si>
  <si>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</si>
  <si>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</si>
  <si>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</si>
  <si>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</si>
  <si>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</si>
  <si>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</si>
  <si>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</si>
  <si>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</si>
  <si>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</si>
  <si>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</si>
  <si>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</si>
  <si>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</si>
  <si>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</si>
  <si>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</si>
  <si>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</si>
  <si>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</si>
  <si>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</si>
  <si>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</si>
  <si>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</si>
  <si>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</si>
  <si>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</si>
  <si>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</si>
  <si>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</si>
  <si>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</si>
  <si>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</si>
  <si>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</si>
  <si>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</si>
  <si>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</si>
  <si>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</si>
  <si>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</si>
  <si>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</si>
  <si>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</si>
  <si>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</si>
  <si>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</si>
  <si>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</si>
  <si>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</si>
  <si>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</si>
  <si>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</si>
  <si>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</si>
  <si>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</si>
  <si>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</si>
  <si>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</si>
  <si>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</si>
  <si>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</si>
  <si>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</si>
  <si>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</si>
  <si>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</si>
  <si>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</si>
  <si>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</si>
  <si>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</si>
  <si>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</si>
  <si>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</si>
  <si>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</si>
  <si>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</si>
  <si>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</si>
  <si>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</si>
  <si>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</si>
  <si>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</si>
  <si>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</si>
  <si>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</si>
  <si>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</si>
  <si>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</si>
  <si>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</si>
  <si>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</si>
  <si>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</si>
  <si>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</si>
  <si>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</si>
  <si>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</si>
  <si>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</si>
  <si>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</si>
  <si>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</si>
  <si>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</si>
  <si>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</si>
  <si>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</si>
  <si>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</si>
  <si>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</si>
  <si>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</si>
  <si>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</si>
  <si>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</si>
  <si>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</si>
  <si>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</si>
  <si>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</si>
  <si>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</si>
  <si>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</si>
  <si>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</si>
  <si>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</si>
  <si>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</si>
  <si>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</si>
  <si>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</si>
  <si>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</si>
  <si>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</si>
  <si>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</si>
  <si>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</si>
  <si>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</si>
  <si>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</si>
  <si>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</si>
  <si>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</si>
  <si>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</si>
  <si>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</si>
  <si>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</si>
  <si>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</si>
  <si>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</si>
  <si>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</si>
  <si>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</si>
  <si>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</si>
  <si>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</si>
  <si>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</si>
  <si>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</si>
  <si>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</si>
  <si>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</si>
  <si>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</si>
  <si>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</si>
  <si>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</si>
  <si>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</si>
  <si>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</si>
  <si>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</si>
  <si>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</si>
  <si>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</si>
  <si>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</si>
  <si>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</si>
  <si>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</si>
  <si>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</si>
  <si>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</si>
  <si>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</si>
  <si>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</si>
  <si>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</si>
  <si>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</si>
  <si>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</si>
  <si>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</si>
  <si>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</si>
  <si>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</si>
  <si>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</si>
  <si>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</si>
  <si>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</si>
  <si>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</si>
  <si>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</si>
  <si>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</si>
  <si>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</si>
  <si>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</si>
  <si>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</si>
  <si>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</si>
  <si>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</si>
  <si>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</si>
  <si>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</si>
  <si>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</si>
  <si>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</si>
  <si>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</si>
  <si>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</si>
  <si>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</si>
  <si>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</si>
  <si>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</si>
  <si>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</si>
  <si>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</si>
  <si>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</si>
  <si>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</si>
  <si>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</si>
  <si>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</si>
  <si>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</si>
  <si>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</si>
  <si>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</si>
  <si>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</si>
  <si>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</si>
  <si>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</si>
  <si>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</si>
  <si>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</si>
  <si>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</si>
  <si>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</si>
  <si>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</si>
  <si>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</si>
  <si>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</si>
  <si>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</si>
  <si>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</si>
  <si>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</si>
  <si>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</si>
  <si>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</si>
  <si>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</si>
  <si>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</si>
  <si>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</si>
  <si>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</si>
  <si>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</si>
  <si>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</si>
  <si>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</si>
  <si>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</si>
  <si>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</si>
  <si>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</si>
  <si>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</si>
  <si>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</si>
  <si>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</si>
  <si>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</si>
  <si>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</si>
  <si>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</si>
  <si>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</si>
  <si>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</si>
  <si>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</si>
  <si>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</si>
  <si>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</si>
  <si>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</si>
  <si>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</si>
  <si>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</si>
  <si>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</si>
  <si>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</si>
  <si>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</si>
  <si>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</si>
  <si>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</si>
  <si>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</si>
  <si>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</si>
  <si>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</si>
  <si>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</si>
  <si>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</si>
  <si>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</si>
  <si>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</si>
  <si>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</si>
  <si>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</si>
  <si>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</si>
  <si>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</si>
  <si>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</si>
  <si>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</si>
  <si>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</si>
  <si>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</si>
  <si>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</si>
  <si>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</si>
  <si>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</si>
  <si>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</si>
  <si>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</si>
  <si>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</si>
  <si>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</si>
  <si>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</si>
  <si>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</si>
  <si>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</si>
  <si>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</si>
  <si>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</si>
  <si>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</si>
  <si>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</si>
  <si>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</si>
  <si>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</si>
  <si>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</si>
  <si>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</si>
  <si>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</si>
  <si>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</si>
  <si>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</si>
  <si>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</si>
  <si>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</si>
  <si>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</si>
  <si>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</si>
  <si>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</si>
  <si>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</si>
  <si>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</si>
  <si>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</si>
  <si>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</si>
  <si>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</si>
  <si>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</si>
  <si>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</si>
  <si>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</si>
  <si>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</si>
  <si>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</si>
  <si>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</si>
  <si>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</si>
  <si>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</si>
  <si>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</si>
  <si>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</si>
  <si>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</si>
  <si>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</si>
  <si>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</si>
  <si>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</si>
  <si>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</si>
  <si>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</si>
  <si>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</si>
  <si>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</si>
  <si>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</si>
  <si>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</si>
  <si>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</si>
  <si>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</si>
  <si>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</si>
  <si>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</si>
  <si>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</si>
  <si>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</si>
  <si>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</si>
  <si>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</si>
  <si>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</si>
  <si>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</si>
  <si>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</si>
  <si>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</si>
  <si>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</si>
  <si>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</si>
  <si>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</si>
  <si>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</si>
  <si>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</si>
  <si>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</si>
  <si>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</si>
  <si>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</si>
  <si>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</si>
  <si>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</si>
  <si>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</si>
  <si>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</si>
  <si>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</si>
  <si>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</si>
  <si>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</si>
  <si>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</si>
  <si>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</si>
  <si>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</si>
  <si>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</si>
  <si>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</si>
  <si>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</si>
  <si>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</si>
  <si>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</si>
  <si>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</si>
  <si>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</si>
  <si>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</si>
  <si>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</si>
  <si>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</si>
  <si>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</si>
  <si>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</si>
  <si>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</si>
  <si>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</si>
  <si>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</si>
  <si>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</si>
  <si>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</si>
  <si>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</si>
  <si>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</si>
  <si>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</si>
  <si>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</si>
  <si>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</si>
  <si>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</si>
  <si>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</si>
  <si>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</si>
  <si>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</si>
  <si>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</si>
  <si>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</si>
  <si>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</si>
  <si>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</si>
  <si>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</si>
  <si>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</si>
  <si>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</si>
  <si>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</si>
  <si>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</si>
  <si>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</si>
  <si>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</si>
  <si>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</si>
  <si>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</si>
  <si>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</si>
  <si>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</si>
  <si>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</si>
  <si>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</si>
  <si>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</si>
  <si>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</si>
  <si>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</si>
  <si>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</si>
  <si>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</si>
  <si>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</si>
  <si>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</si>
  <si>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</si>
  <si>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</si>
  <si>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</si>
  <si>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</si>
  <si>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</si>
  <si>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</si>
  <si>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</si>
  <si>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</si>
  <si>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</si>
  <si>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</si>
  <si>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</si>
  <si>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</si>
  <si>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</si>
  <si>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</si>
  <si>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</si>
  <si>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</si>
  <si>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</si>
  <si>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</si>
  <si>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</si>
  <si>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</si>
  <si>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</si>
  <si>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</si>
  <si>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</si>
  <si>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</si>
  <si>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</si>
  <si>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</si>
  <si>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</si>
  <si>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</si>
  <si>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</si>
  <si>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</si>
  <si>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</si>
  <si>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</si>
  <si>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</si>
  <si>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</si>
  <si>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</si>
  <si>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</si>
  <si>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</si>
  <si>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</si>
  <si>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</si>
  <si>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</si>
  <si>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</si>
  <si>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</si>
  <si>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</si>
  <si>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</si>
  <si>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</si>
  <si>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</si>
  <si>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</si>
  <si>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</si>
  <si>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</si>
  <si>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</si>
  <si>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</si>
  <si>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</si>
  <si>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</si>
  <si>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</si>
  <si>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</si>
  <si>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</si>
  <si>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</si>
  <si>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</si>
  <si>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</si>
  <si>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</si>
  <si>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</si>
  <si>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</si>
  <si>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</si>
  <si>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</si>
  <si>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</si>
  <si>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</si>
  <si>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</si>
  <si>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</si>
  <si>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</si>
  <si>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</si>
  <si>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</si>
  <si>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</si>
  <si>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</si>
  <si>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</si>
  <si>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</si>
  <si>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</si>
  <si>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</si>
  <si>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</si>
  <si>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</si>
  <si>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</si>
  <si>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</si>
  <si>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</si>
  <si>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</si>
  <si>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</si>
  <si>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</si>
  <si>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</si>
  <si>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</si>
  <si>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</si>
  <si>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</si>
  <si>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</si>
  <si>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</si>
  <si>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</si>
  <si>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</si>
  <si>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</si>
  <si>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</si>
  <si>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</si>
  <si>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</si>
  <si>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</si>
  <si>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</si>
  <si>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</si>
  <si>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</si>
  <si>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</si>
  <si>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</si>
  <si>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</si>
  <si>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</si>
  <si>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</si>
  <si>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</si>
  <si>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</si>
  <si>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</si>
  <si>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</si>
  <si>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</si>
  <si>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</si>
  <si>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</si>
  <si>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</si>
  <si>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</si>
  <si>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</si>
  <si>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</si>
  <si>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</si>
  <si>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</si>
  <si>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</si>
  <si>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</si>
  <si>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</si>
  <si>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</si>
  <si>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</si>
  <si>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</si>
  <si>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</si>
  <si>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</si>
  <si>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</si>
  <si>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</si>
  <si>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</si>
  <si>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</si>
  <si>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</si>
  <si>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</si>
  <si>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</si>
  <si>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</si>
  <si>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</si>
  <si>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</si>
  <si>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</si>
  <si>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</si>
  <si>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</si>
  <si>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</si>
  <si>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</si>
  <si>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</si>
  <si>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</si>
  <si>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</si>
  <si>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</si>
  <si>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</si>
  <si>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</si>
  <si>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</si>
  <si>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</si>
  <si>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</si>
  <si>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</si>
  <si>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</si>
  <si>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</si>
  <si>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</si>
  <si>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</si>
  <si>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</si>
  <si>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</si>
  <si>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</si>
  <si>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</si>
  <si>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</si>
  <si>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</si>
  <si>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</si>
  <si>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</si>
  <si>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</si>
  <si>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</si>
  <si>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</si>
  <si>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</si>
  <si>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</si>
  <si>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</si>
  <si>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</si>
  <si>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</si>
  <si>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</si>
  <si>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</si>
  <si>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</si>
  <si>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</si>
  <si>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</si>
  <si>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</si>
  <si>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</si>
  <si>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</si>
  <si>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</si>
  <si>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</si>
  <si>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</si>
  <si>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</si>
  <si>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</si>
  <si>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</si>
  <si>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</si>
  <si>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</si>
  <si>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</si>
  <si>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</si>
  <si>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</si>
  <si>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</si>
  <si>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</si>
  <si>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</si>
  <si>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</si>
  <si>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</si>
  <si>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</si>
  <si>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</si>
  <si>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</si>
  <si>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</si>
  <si>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</si>
  <si>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</si>
  <si>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</si>
  <si>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</si>
  <si>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</si>
  <si>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</si>
  <si>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</si>
  <si>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</si>
  <si>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</si>
  <si>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</si>
  <si>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</si>
  <si>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</si>
  <si>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</si>
  <si>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</si>
  <si>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</si>
  <si>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</si>
  <si>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</si>
  <si>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</si>
  <si>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</si>
  <si>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</si>
  <si>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</si>
  <si>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</si>
  <si>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</si>
  <si>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</si>
  <si>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</si>
  <si>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</si>
  <si>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</si>
  <si>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</si>
  <si>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</si>
  <si>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</si>
  <si>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</si>
  <si>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</si>
  <si>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</si>
  <si>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</si>
  <si>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</si>
  <si>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</si>
  <si>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</si>
  <si>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</si>
  <si>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</si>
  <si>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</si>
  <si>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</si>
  <si>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</si>
  <si>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</si>
  <si>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</si>
  <si>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</si>
  <si>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</si>
  <si>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</si>
  <si>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</si>
  <si>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</si>
  <si>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</si>
  <si>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</si>
  <si>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</si>
  <si>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</si>
  <si>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</si>
  <si>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</si>
  <si>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</si>
  <si>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</si>
  <si>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</si>
  <si>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</si>
  <si>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</si>
  <si>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</si>
  <si>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</si>
  <si>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</si>
  <si>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</si>
  <si>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</si>
  <si>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</si>
  <si>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</si>
  <si>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</si>
  <si>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</si>
  <si>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</si>
  <si>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</si>
  <si>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</si>
  <si>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</si>
  <si>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</si>
  <si>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</si>
  <si>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</si>
  <si>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</si>
  <si>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</si>
  <si>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</si>
  <si>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</si>
  <si>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</si>
  <si>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</si>
  <si>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</si>
  <si>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</si>
  <si>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</si>
  <si>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</si>
  <si>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</si>
  <si>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</si>
  <si>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</si>
  <si>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</si>
  <si>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</si>
  <si>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</si>
  <si>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</si>
  <si>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</si>
  <si>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</si>
  <si>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</si>
  <si>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</si>
  <si>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</si>
  <si>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</si>
  <si>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</si>
  <si>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</si>
  <si>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</si>
  <si>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</si>
  <si>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</si>
  <si>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</si>
  <si>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</si>
  <si>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</si>
  <si>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</si>
  <si>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</si>
  <si>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</si>
  <si>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</si>
  <si>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</si>
  <si>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</si>
  <si>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</si>
  <si>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</si>
  <si>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</si>
  <si>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</si>
  <si>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</si>
  <si>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</si>
  <si>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</si>
  <si>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</si>
  <si>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</si>
  <si>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</si>
  <si>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</si>
  <si>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</si>
  <si>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</si>
  <si>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</si>
  <si>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</si>
  <si>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</si>
  <si>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</si>
  <si>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</si>
  <si>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</si>
  <si>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</si>
  <si>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</si>
  <si>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</si>
  <si>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</si>
  <si>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</si>
  <si>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</si>
  <si>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</si>
  <si>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</si>
  <si>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</si>
  <si>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</si>
  <si>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</si>
  <si>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</si>
  <si>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</si>
  <si>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</si>
  <si>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</si>
  <si>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</si>
  <si>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</si>
  <si>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</si>
  <si>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</si>
  <si>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</si>
  <si>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</si>
  <si>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</si>
  <si>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</si>
  <si>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</si>
  <si>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</si>
  <si>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</si>
  <si>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</si>
  <si>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</si>
  <si>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</si>
  <si>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</si>
  <si>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</si>
  <si>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</si>
  <si>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</si>
  <si>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</si>
  <si>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</si>
  <si>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</si>
  <si>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</si>
  <si>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</si>
  <si>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</si>
  <si>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</si>
  <si>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</si>
  <si>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</si>
  <si>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</si>
  <si>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</si>
  <si>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</si>
  <si>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</si>
  <si>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</si>
  <si>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</si>
  <si>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</si>
  <si>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</si>
  <si>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</si>
  <si>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</si>
  <si>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</si>
  <si>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</si>
  <si>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</si>
  <si>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</si>
  <si>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</si>
  <si>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</si>
  <si>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</si>
  <si>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</si>
  <si>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</si>
  <si>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</si>
  <si>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</si>
  <si>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</si>
  <si>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</si>
  <si>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</si>
  <si>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</si>
  <si>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</si>
  <si>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</si>
  <si>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</si>
  <si>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</si>
  <si>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</si>
  <si>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</si>
  <si>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</si>
  <si>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</si>
  <si>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</si>
  <si>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</si>
  <si>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</si>
  <si>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</si>
  <si>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</si>
  <si>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</si>
  <si>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</si>
  <si>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</si>
  <si>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</si>
  <si>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</si>
  <si>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</si>
  <si>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</si>
  <si>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</si>
  <si>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</si>
  <si>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</si>
  <si>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</si>
  <si>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</si>
  <si>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</si>
  <si>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</si>
  <si>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</si>
  <si>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</si>
  <si>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</si>
  <si>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</si>
  <si>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</si>
  <si>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</si>
  <si>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</si>
  <si>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</si>
  <si>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</si>
  <si>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</si>
  <si>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</si>
  <si>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</si>
  <si>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</si>
  <si>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</si>
  <si>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</si>
  <si>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</si>
  <si>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</si>
  <si>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</si>
  <si>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</si>
  <si>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</si>
  <si>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</si>
  <si>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</si>
  <si>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</si>
  <si>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</si>
  <si>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</si>
  <si>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</si>
  <si>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</si>
  <si>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</si>
  <si>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</si>
  <si>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</si>
  <si>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</si>
  <si>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</si>
  <si>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</si>
  <si>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</si>
  <si>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</si>
  <si>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</si>
  <si>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</si>
  <si>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</si>
  <si>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</si>
  <si>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</si>
  <si>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</si>
  <si>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</si>
  <si>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</si>
  <si>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</si>
  <si>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</si>
  <si>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</si>
  <si>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</si>
  <si>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</si>
  <si>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</si>
  <si>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</si>
  <si>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</si>
  <si>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</si>
  <si>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</si>
  <si>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</si>
  <si>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</si>
  <si>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</si>
  <si>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</si>
  <si>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</si>
  <si>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</si>
  <si>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</si>
  <si>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</si>
  <si>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</si>
  <si>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</si>
  <si>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</si>
  <si>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</si>
  <si>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</si>
  <si>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</si>
  <si>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</si>
  <si>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</si>
  <si>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</si>
  <si>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</si>
  <si>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</si>
  <si>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</si>
  <si>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</si>
  <si>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</si>
  <si>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</si>
  <si>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</si>
  <si>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</si>
  <si>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</si>
  <si>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</si>
  <si>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</si>
  <si>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</si>
  <si>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</si>
  <si>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</si>
  <si>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</si>
  <si>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</si>
  <si>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</si>
  <si>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</si>
  <si>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</si>
  <si>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</si>
  <si>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</si>
  <si>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</si>
  <si>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</si>
  <si>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</si>
  <si>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</si>
  <si>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</si>
  <si>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</si>
  <si>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</si>
  <si>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</si>
  <si>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</si>
  <si>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</si>
  <si>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</si>
  <si>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</si>
  <si>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</si>
  <si>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</si>
  <si>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</si>
  <si>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</si>
  <si>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</si>
  <si>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</si>
  <si>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</si>
  <si>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</si>
  <si>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</si>
  <si>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</si>
  <si>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</si>
  <si>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</si>
  <si>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</si>
  <si>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</si>
  <si>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</si>
  <si>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</si>
  <si>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</si>
  <si>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</si>
  <si>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</si>
  <si>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</si>
  <si>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</si>
  <si>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</si>
  <si>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</si>
  <si>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</si>
  <si>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</si>
  <si>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</si>
  <si>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</si>
  <si>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</si>
  <si>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</si>
  <si>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</si>
  <si>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</si>
  <si>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</si>
  <si>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</si>
  <si>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</si>
  <si>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</si>
  <si>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</si>
  <si>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</si>
  <si>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</si>
  <si>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</si>
  <si>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</si>
  <si>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</si>
  <si>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</si>
  <si>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</si>
  <si>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</si>
  <si>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</si>
  <si>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</si>
  <si>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</si>
  <si>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</si>
  <si>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</si>
  <si>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</si>
  <si>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</si>
  <si>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</si>
  <si>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</si>
  <si>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</si>
  <si>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</si>
  <si>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</si>
  <si>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</si>
  <si>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</si>
  <si>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</si>
  <si>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</si>
  <si>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</si>
  <si>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</si>
  <si>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</si>
  <si>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</si>
  <si>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</si>
  <si>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</si>
  <si>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</si>
  <si>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</si>
  <si>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</si>
  <si>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</si>
  <si>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</si>
  <si>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</si>
  <si>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</si>
  <si>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</si>
  <si>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</si>
  <si>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</si>
  <si>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</si>
  <si>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</si>
  <si>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</si>
  <si>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</si>
  <si>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</si>
  <si>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</si>
  <si>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</si>
  <si>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</si>
  <si>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</si>
  <si>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</si>
  <si>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</si>
  <si>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</si>
  <si>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</si>
  <si>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</si>
  <si>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</si>
  <si>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</si>
  <si>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</si>
  <si>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</si>
  <si>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</si>
  <si>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</si>
  <si>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</si>
  <si>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</si>
  <si>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</si>
  <si>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</si>
  <si>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</si>
  <si>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</si>
  <si>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</si>
  <si>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</si>
  <si>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</si>
  <si>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</si>
  <si>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</si>
  <si>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</si>
  <si>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</si>
  <si>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</si>
  <si>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</si>
  <si>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</si>
  <si>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</si>
  <si>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</si>
  <si>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</si>
  <si>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</si>
  <si>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</si>
  <si>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</si>
  <si>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</si>
  <si>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</si>
  <si>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</si>
  <si>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</si>
  <si>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</si>
  <si>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</si>
  <si>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</si>
  <si>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</si>
  <si>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</si>
  <si>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</si>
  <si>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</si>
  <si>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</si>
  <si>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</si>
  <si>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</si>
  <si>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</si>
  <si>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</si>
  <si>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</si>
  <si>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</si>
  <si>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</si>
  <si>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</si>
  <si>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</si>
  <si>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</si>
  <si>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</si>
  <si>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</si>
  <si>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</si>
  <si>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</si>
  <si>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</si>
  <si>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</si>
  <si>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</si>
  <si>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</si>
  <si>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</si>
  <si>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</si>
  <si>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</si>
  <si>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</si>
  <si>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</si>
  <si>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</si>
  <si>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</si>
  <si>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</si>
  <si>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</si>
  <si>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</si>
  <si>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</si>
  <si>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</si>
  <si>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</si>
  <si>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</si>
  <si>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</si>
  <si>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</si>
  <si>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</si>
  <si>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</si>
  <si>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</si>
  <si>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</si>
  <si>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</si>
  <si>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</si>
  <si>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</si>
  <si>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</si>
  <si>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</si>
  <si>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</si>
  <si>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</si>
  <si>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</si>
  <si>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</si>
  <si>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</si>
  <si>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</si>
  <si>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</si>
  <si>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</si>
  <si>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</si>
  <si>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</si>
  <si>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</si>
  <si>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</si>
  <si>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</si>
  <si>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</si>
  <si>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</si>
  <si>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</si>
  <si>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</si>
  <si>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</si>
  <si>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</si>
  <si>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</si>
  <si>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</si>
  <si>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</si>
  <si>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</si>
  <si>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</si>
  <si>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</si>
  <si>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</si>
  <si>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</si>
  <si>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</si>
  <si>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</si>
  <si>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</si>
  <si>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</si>
  <si>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</si>
  <si>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</si>
  <si>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</si>
  <si>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</si>
  <si>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</si>
  <si>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</si>
  <si>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</si>
  <si>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</si>
  <si>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</si>
  <si>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</si>
  <si>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</si>
  <si>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</si>
  <si>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</si>
  <si>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</si>
  <si>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</si>
  <si>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</si>
  <si>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</si>
  <si>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</si>
  <si>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</si>
  <si>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</si>
  <si>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</si>
  <si>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</si>
  <si>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</si>
  <si>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</si>
  <si>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</si>
  <si>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</si>
  <si>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</si>
  <si>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</si>
  <si>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</si>
  <si>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</si>
  <si>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</si>
  <si>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</si>
  <si>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</si>
  <si>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</si>
  <si>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</si>
  <si>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</si>
  <si>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</si>
  <si>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</si>
  <si>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</si>
  <si>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</si>
  <si>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</si>
  <si>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</si>
  <si>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</si>
  <si>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</si>
  <si>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</si>
  <si>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</si>
  <si>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</si>
  <si>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</si>
  <si>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</si>
  <si>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</si>
  <si>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</si>
  <si>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</si>
  <si>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</si>
  <si>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</si>
  <si>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</si>
  <si>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</si>
  <si>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</si>
  <si>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</si>
  <si>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</si>
  <si>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</si>
  <si>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</si>
  <si>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</si>
  <si>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</si>
  <si>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</si>
  <si>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</si>
  <si>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</si>
  <si>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</si>
  <si>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</si>
  <si>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</si>
  <si>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</si>
  <si>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</si>
  <si>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</si>
  <si>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</si>
  <si>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</si>
  <si>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</si>
  <si>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</si>
  <si>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</si>
  <si>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</si>
  <si>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</si>
  <si>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</si>
  <si>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</si>
  <si>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</si>
  <si>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</si>
  <si>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</si>
  <si>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</si>
  <si>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</si>
  <si>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</si>
  <si>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</si>
  <si>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</si>
  <si>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</si>
  <si>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</si>
  <si>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</si>
  <si>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</si>
  <si>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</si>
  <si>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</si>
  <si>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</si>
  <si>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</si>
  <si>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</si>
  <si>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</si>
  <si>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</si>
  <si>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</si>
  <si>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</si>
  <si>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</si>
  <si>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</si>
  <si>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</si>
  <si>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</si>
  <si>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</si>
  <si>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</si>
  <si>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</si>
  <si>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</si>
  <si>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</si>
  <si>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</si>
  <si>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</si>
  <si>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</si>
  <si>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</si>
  <si>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</si>
  <si>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</si>
  <si>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</si>
  <si>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</si>
  <si>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</si>
  <si>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</si>
  <si>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</si>
  <si>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</si>
  <si>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</si>
  <si>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</si>
  <si>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</si>
  <si>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</si>
  <si>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</si>
  <si>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</si>
  <si>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</si>
  <si>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</si>
  <si>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</si>
  <si>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</si>
  <si>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</si>
  <si>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</si>
  <si>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</si>
  <si>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</si>
  <si>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</si>
  <si>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</si>
  <si>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</si>
  <si>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</si>
  <si>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</si>
  <si>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</si>
  <si>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</si>
  <si>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</si>
  <si>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</si>
  <si>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</si>
  <si>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</si>
  <si>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</si>
  <si>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</si>
  <si>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</si>
  <si>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</si>
  <si>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</si>
  <si>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</si>
  <si>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</si>
  <si>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</si>
  <si>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</si>
  <si>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</si>
  <si>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</si>
  <si>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</si>
  <si>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</si>
  <si>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</si>
  <si>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</si>
  <si>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</si>
  <si>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</si>
  <si>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</si>
  <si>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</si>
  <si>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</si>
  <si>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</si>
  <si>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</si>
  <si>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</si>
  <si>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</si>
  <si>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</si>
  <si>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</si>
  <si>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</si>
  <si>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</si>
  <si>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</si>
  <si>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</si>
  <si>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</si>
  <si>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</si>
  <si>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</si>
  <si>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</si>
  <si>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</si>
  <si>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</si>
  <si>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</si>
  <si>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</si>
  <si>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</si>
  <si>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</si>
  <si>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</si>
  <si>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</si>
  <si>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</si>
  <si>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</si>
  <si>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</si>
  <si>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</si>
  <si>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</si>
  <si>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</si>
  <si>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</si>
  <si>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</si>
  <si>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</si>
  <si>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</si>
  <si>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</si>
  <si>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</si>
  <si>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</si>
  <si>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</si>
  <si>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</si>
  <si>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</si>
  <si>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</si>
  <si>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</si>
  <si>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</si>
  <si>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</si>
  <si>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</si>
  <si>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</si>
  <si>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</si>
  <si>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</si>
  <si>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</si>
  <si>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</si>
  <si>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</si>
  <si>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</si>
  <si>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</si>
  <si>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</si>
  <si>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</si>
  <si>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</si>
  <si>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</si>
  <si>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</si>
  <si>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</si>
  <si>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</si>
  <si>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</si>
  <si>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</si>
  <si>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</si>
  <si>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</si>
  <si>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</si>
  <si>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</si>
  <si>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</si>
  <si>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</si>
  <si>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</si>
  <si>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</si>
  <si>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</si>
  <si>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</si>
  <si>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</si>
  <si>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</si>
  <si>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</si>
  <si>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</si>
  <si>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</si>
  <si>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</si>
  <si>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</si>
  <si>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</si>
  <si>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</si>
  <si>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</si>
  <si>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</si>
  <si>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</si>
  <si>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</si>
  <si>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</si>
  <si>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</si>
  <si>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</si>
  <si>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</si>
  <si>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</si>
  <si>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</si>
  <si>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</si>
  <si>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</si>
  <si>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</si>
  <si>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</si>
  <si>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</si>
  <si>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</si>
  <si>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</si>
  <si>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</si>
  <si>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</si>
  <si>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</si>
  <si>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</si>
  <si>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</si>
  <si>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</si>
  <si>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</si>
  <si>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</si>
  <si>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</si>
  <si>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</si>
  <si>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</si>
  <si>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</si>
  <si>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</si>
  <si>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</si>
  <si>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</si>
  <si>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</si>
  <si>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</si>
  <si>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</si>
  <si>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</si>
  <si>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</si>
  <si>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</si>
  <si>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</si>
  <si>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</si>
  <si>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</si>
  <si>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</si>
  <si>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</si>
  <si>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</si>
  <si>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</si>
  <si>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</si>
  <si>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</si>
  <si>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</si>
  <si>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</si>
  <si>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</si>
  <si>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</si>
  <si>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</si>
  <si>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</si>
  <si>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</si>
  <si>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</si>
  <si>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</si>
  <si>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</si>
  <si>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</si>
  <si>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</si>
  <si>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</si>
  <si>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</si>
  <si>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</si>
  <si>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</si>
  <si>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</si>
  <si>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</si>
  <si>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</si>
  <si>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</si>
  <si>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</si>
  <si>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</si>
  <si>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</si>
  <si>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</si>
  <si>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</si>
  <si>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</si>
  <si>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</si>
  <si>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</si>
  <si>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</si>
  <si>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</si>
  <si>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</si>
  <si>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</si>
  <si>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</si>
  <si>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</si>
  <si>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</si>
  <si>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</si>
  <si>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</si>
  <si>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</si>
  <si>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</si>
  <si>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</si>
  <si>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</si>
  <si>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</si>
  <si>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</si>
  <si>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</si>
  <si>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</si>
  <si>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</si>
  <si>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</si>
  <si>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</si>
  <si>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</si>
  <si>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</si>
  <si>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</si>
  <si>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</si>
  <si>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</si>
  <si>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</si>
  <si>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</si>
  <si>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</si>
  <si>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</si>
  <si>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</si>
  <si>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</si>
  <si>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</si>
  <si>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</si>
  <si>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</si>
  <si>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</si>
  <si>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</si>
  <si>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</si>
  <si>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</si>
  <si>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</si>
  <si>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</si>
  <si>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</si>
  <si>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</si>
  <si>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</si>
  <si>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</si>
  <si>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</si>
  <si>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</si>
  <si>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</si>
  <si>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</si>
  <si>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</si>
  <si>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</si>
  <si>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</si>
  <si>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</si>
  <si>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</si>
  <si>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</si>
  <si>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</si>
  <si>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</si>
  <si>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</si>
  <si>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</si>
  <si>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</si>
  <si>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</si>
  <si>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</si>
  <si>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</si>
  <si>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</si>
  <si>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</si>
  <si>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</si>
  <si>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</si>
  <si>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</si>
  <si>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</si>
  <si>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</si>
  <si>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</si>
  <si>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</si>
  <si>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</si>
  <si>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</si>
  <si>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</si>
  <si>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</si>
  <si>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</si>
  <si>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</si>
  <si>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</si>
  <si>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</si>
  <si>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</si>
  <si>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</si>
  <si>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</si>
  <si>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</si>
  <si>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</si>
  <si>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</si>
  <si>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</si>
  <si>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</si>
  <si>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</si>
  <si>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</si>
  <si>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</si>
  <si>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</si>
  <si>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</si>
  <si>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</si>
  <si>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</si>
  <si>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</si>
  <si>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</si>
  <si>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</si>
  <si>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</si>
  <si>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</si>
  <si>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</si>
  <si>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</si>
  <si>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</si>
  <si>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</si>
  <si>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</si>
  <si>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</si>
  <si>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</si>
  <si>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</si>
  <si>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</si>
  <si>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</si>
  <si>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</si>
  <si>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</si>
  <si>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</si>
  <si>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</si>
  <si>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</si>
  <si>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</si>
  <si>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</si>
  <si>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</si>
  <si>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</si>
  <si>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</si>
  <si>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</si>
  <si>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</si>
  <si>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</si>
  <si>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</si>
  <si>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</si>
  <si>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</si>
  <si>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</si>
  <si>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</si>
  <si>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</si>
  <si>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</si>
  <si>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</si>
  <si>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</si>
  <si>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</si>
  <si>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</si>
  <si>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</si>
  <si>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</si>
  <si>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</si>
  <si>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</si>
  <si>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</si>
  <si>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</si>
  <si>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</si>
  <si>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</si>
  <si>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</si>
  <si>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</si>
  <si>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</si>
  <si>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</si>
  <si>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</si>
  <si>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</si>
  <si>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</si>
  <si>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</si>
  <si>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</si>
  <si>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</si>
  <si>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</si>
  <si>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</si>
  <si>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</si>
  <si>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</si>
  <si>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</si>
  <si>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</si>
  <si>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</si>
  <si>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</si>
  <si>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</si>
  <si>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</si>
  <si>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</si>
  <si>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</si>
  <si>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</si>
  <si>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</si>
  <si>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</si>
  <si>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</si>
  <si>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</si>
  <si>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</si>
  <si>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</si>
  <si>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</si>
  <si>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</si>
  <si>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</si>
  <si>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</si>
  <si>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</si>
  <si>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</si>
  <si>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</si>
  <si>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</si>
  <si>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</si>
  <si>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</si>
  <si>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</si>
  <si>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</si>
  <si>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</si>
  <si>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</si>
  <si>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</si>
  <si>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</si>
  <si>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</si>
  <si>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</si>
  <si>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</si>
  <si>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</si>
  <si>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</si>
  <si>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</si>
  <si>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</si>
  <si>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</si>
  <si>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</si>
  <si>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</si>
  <si>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</si>
  <si>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</si>
  <si>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</si>
  <si>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</si>
  <si>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</si>
  <si>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</si>
  <si>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</si>
  <si>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</si>
  <si>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</si>
  <si>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</si>
  <si>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</si>
  <si>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</si>
  <si>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</si>
  <si>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</si>
  <si>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</si>
  <si>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</si>
  <si>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</si>
  <si>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</si>
  <si>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</si>
  <si>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</si>
  <si>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</si>
  <si>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</si>
  <si>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</si>
  <si>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</si>
  <si>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</si>
  <si>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</si>
  <si>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</si>
  <si>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</si>
  <si>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</si>
  <si>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</si>
  <si>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</si>
  <si>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</si>
  <si>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</si>
  <si>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</si>
  <si>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</si>
  <si>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</si>
  <si>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</si>
  <si>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</si>
  <si>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</si>
  <si>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</si>
  <si>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</si>
  <si>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</si>
  <si>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</si>
  <si>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</si>
  <si>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</si>
  <si>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</si>
  <si>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</si>
  <si>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</si>
  <si>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</si>
  <si>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</si>
  <si>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</si>
  <si>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</si>
  <si>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</si>
  <si>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</si>
  <si>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</si>
  <si>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</si>
  <si>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</si>
  <si>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</si>
  <si>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</si>
  <si>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</si>
  <si>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</si>
  <si>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</si>
  <si>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</si>
  <si>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</si>
  <si>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</si>
  <si>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</si>
  <si>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</si>
  <si>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</si>
  <si>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</si>
  <si>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</si>
  <si>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</si>
  <si>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</si>
  <si>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</si>
  <si>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</si>
  <si>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</si>
  <si>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</si>
  <si>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</si>
  <si>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</si>
  <si>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</si>
  <si>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</si>
  <si>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</si>
  <si>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</si>
  <si>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</si>
  <si>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</si>
  <si>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</si>
  <si>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</si>
  <si>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</si>
  <si>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</si>
  <si>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</si>
  <si>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</si>
  <si>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</si>
  <si>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</si>
  <si>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</si>
  <si>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</si>
  <si>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</si>
  <si>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</si>
  <si>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</si>
  <si>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</si>
  <si>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</si>
  <si>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</si>
  <si>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</si>
  <si>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</si>
  <si>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</si>
  <si>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</si>
  <si>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</si>
  <si>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</si>
  <si>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</si>
  <si>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</si>
  <si>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</si>
  <si>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</si>
  <si>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</si>
  <si>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</si>
  <si>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</si>
  <si>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</si>
  <si>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</si>
  <si>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</si>
  <si>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</si>
  <si>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</si>
  <si>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</si>
  <si>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</si>
  <si>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</si>
  <si>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</si>
  <si>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</si>
  <si>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</si>
  <si>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</si>
  <si>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</si>
  <si>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</si>
  <si>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</si>
  <si>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</si>
  <si>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</si>
  <si>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</si>
  <si>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</si>
  <si>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</si>
  <si>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</si>
  <si>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</si>
  <si>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</si>
  <si>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</si>
  <si>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</si>
  <si>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</si>
  <si>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</si>
  <si>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</si>
  <si>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</si>
  <si>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</si>
  <si>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</si>
  <si>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</si>
  <si>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</si>
  <si>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</si>
  <si>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</si>
  <si>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</si>
  <si>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</si>
  <si>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</si>
  <si>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</si>
  <si>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</si>
  <si>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</si>
  <si>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</si>
  <si>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</si>
  <si>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</si>
  <si>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</si>
  <si>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</si>
  <si>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</si>
  <si>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</si>
  <si>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</si>
  <si>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</si>
  <si>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</si>
  <si>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</si>
  <si>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</si>
  <si>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</si>
  <si>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</si>
  <si>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</si>
  <si>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</si>
  <si>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</si>
  <si>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</si>
  <si>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</si>
  <si>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</si>
  <si>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</si>
  <si>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</si>
  <si>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</si>
  <si>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</si>
  <si>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</si>
  <si>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</si>
  <si>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</si>
  <si>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</si>
  <si>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</si>
  <si>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</si>
  <si>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</si>
  <si>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</si>
  <si>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</si>
  <si>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</si>
  <si>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</si>
  <si>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</si>
  <si>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</si>
  <si>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</si>
  <si>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</si>
  <si>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</si>
  <si>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</si>
  <si>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</si>
  <si>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</si>
  <si>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</si>
  <si>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</si>
  <si>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</si>
  <si>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</si>
  <si>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</si>
  <si>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</si>
  <si>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</si>
  <si>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</si>
  <si>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</si>
  <si>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</si>
  <si>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</si>
  <si>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</si>
  <si>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</si>
  <si>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</si>
  <si>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</si>
  <si>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</si>
  <si>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</si>
  <si>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</si>
  <si>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</si>
  <si>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</si>
  <si>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</si>
  <si>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</si>
  <si>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</si>
  <si>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</si>
  <si>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</si>
  <si>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</si>
  <si>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</si>
  <si>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</si>
  <si>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</si>
  <si>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</si>
  <si>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</si>
  <si>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</si>
  <si>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</si>
  <si>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</si>
  <si>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</si>
  <si>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</si>
  <si>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</si>
  <si>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</si>
  <si>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</si>
  <si>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</si>
  <si>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</si>
  <si>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</si>
  <si>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</si>
  <si>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</si>
  <si>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</si>
  <si>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</si>
  <si>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</si>
  <si>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</si>
  <si>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</si>
  <si>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</si>
  <si>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</si>
  <si>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</si>
  <si>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</si>
  <si>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</si>
  <si>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</si>
  <si>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</si>
  <si>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</si>
  <si>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</si>
  <si>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</si>
  <si>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</si>
  <si>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</si>
  <si>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</si>
  <si>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</si>
  <si>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</si>
  <si>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</si>
  <si>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</si>
  <si>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</si>
  <si>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</si>
  <si>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</si>
  <si>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</si>
  <si>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</si>
  <si>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</si>
  <si>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</si>
  <si>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</si>
  <si>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</si>
  <si>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</si>
  <si>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</si>
  <si>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</si>
  <si>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</si>
  <si>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</si>
  <si>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</si>
  <si>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</si>
  <si>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</si>
  <si>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</si>
  <si>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</si>
  <si>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</si>
  <si>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</si>
  <si>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</si>
  <si>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</si>
  <si>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</si>
  <si>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</si>
  <si>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</si>
  <si>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</si>
  <si>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</si>
  <si>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</si>
  <si>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</si>
  <si>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</si>
  <si>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</si>
  <si>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</si>
  <si>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</si>
  <si>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</si>
  <si>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</si>
  <si>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</si>
  <si>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</si>
  <si>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</si>
  <si>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</si>
  <si>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</si>
  <si>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</si>
  <si>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</si>
  <si>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</si>
  <si>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</si>
  <si>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</si>
  <si>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</si>
  <si>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</si>
  <si>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</si>
  <si>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</si>
  <si>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</si>
  <si>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</si>
  <si>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</si>
  <si>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</si>
  <si>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</si>
  <si>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</si>
  <si>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</si>
  <si>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</si>
  <si>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</si>
  <si>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</si>
  <si>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</si>
  <si>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</si>
  <si>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</si>
  <si>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</si>
  <si>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</si>
  <si>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</si>
  <si>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</si>
  <si>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</si>
  <si>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</si>
  <si>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</si>
  <si>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</si>
  <si>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</si>
  <si>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</si>
  <si>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</si>
  <si>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</si>
  <si>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</si>
  <si>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</si>
  <si>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</si>
  <si>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</si>
  <si>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</si>
  <si>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</si>
  <si>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</si>
  <si>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</si>
  <si>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</si>
  <si>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</si>
  <si>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</si>
  <si>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</si>
  <si>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</si>
  <si>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</si>
  <si>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</si>
  <si>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</si>
  <si>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</si>
  <si>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</si>
  <si>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</si>
  <si>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</si>
  <si>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</si>
  <si>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</si>
  <si>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</si>
  <si>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</si>
  <si>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</si>
  <si>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</si>
  <si>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</si>
  <si>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</si>
  <si>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</si>
  <si>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</si>
  <si>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</si>
  <si>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</si>
  <si>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</si>
  <si>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</si>
  <si>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</si>
  <si>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</si>
  <si>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</si>
  <si>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</si>
  <si>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</si>
  <si>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</si>
  <si>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</si>
  <si>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</si>
  <si>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</si>
  <si>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</si>
  <si>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</si>
  <si>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</si>
  <si>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</si>
  <si>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</si>
  <si>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</si>
  <si>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</si>
  <si>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</si>
  <si>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</si>
  <si>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</si>
  <si>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</si>
  <si>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</si>
  <si>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</si>
  <si>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</si>
  <si>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</si>
  <si>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</si>
  <si>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</si>
  <si>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</si>
  <si>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</si>
  <si>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</si>
  <si>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</si>
  <si>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</si>
  <si>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</si>
  <si>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</si>
  <si>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</si>
  <si>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</si>
  <si>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</si>
  <si>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</si>
  <si>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</si>
  <si>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</si>
  <si>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</si>
  <si>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</si>
  <si>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</si>
  <si>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</si>
  <si>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</si>
  <si>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</si>
  <si>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</si>
  <si>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</si>
  <si>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</si>
  <si>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</si>
  <si>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</si>
  <si>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</si>
  <si>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</si>
  <si>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</si>
  <si>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</si>
  <si>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</si>
  <si>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</si>
  <si>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</si>
  <si>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</si>
  <si>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</si>
  <si>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</si>
  <si>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</si>
  <si>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</si>
  <si>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</si>
  <si>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</si>
  <si>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</si>
  <si>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</si>
  <si>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</si>
  <si>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</si>
  <si>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</si>
  <si>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</si>
  <si>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</si>
  <si>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</si>
  <si>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</si>
  <si>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</si>
  <si>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</si>
  <si>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</si>
  <si>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</si>
  <si>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</si>
  <si>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</si>
  <si>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</si>
  <si>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</si>
  <si>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</si>
  <si>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</si>
  <si>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</si>
  <si>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</si>
  <si>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</si>
  <si>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</si>
  <si>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</si>
  <si>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</si>
  <si>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</si>
  <si>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</si>
  <si>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</si>
  <si>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</si>
  <si>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</si>
  <si>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</si>
  <si>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</si>
  <si>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</si>
  <si>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</si>
  <si>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</si>
  <si>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</si>
  <si>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</si>
  <si>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</si>
  <si>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</si>
  <si>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</si>
  <si>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</si>
  <si>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</si>
  <si>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</si>
  <si>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</si>
  <si>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</si>
  <si>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</si>
  <si>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</si>
  <si>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</si>
  <si>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</si>
  <si>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</si>
  <si>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</si>
  <si>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</si>
  <si>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</si>
  <si>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</si>
  <si>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</si>
  <si>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</si>
  <si>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</si>
  <si>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</si>
  <si>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</si>
  <si>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</si>
  <si>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</si>
  <si>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</si>
  <si>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</si>
  <si>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</si>
  <si>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</si>
  <si>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</si>
  <si>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</si>
  <si>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</si>
  <si>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</si>
  <si>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</si>
  <si>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</si>
  <si>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</si>
  <si>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</si>
  <si>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</si>
  <si>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</si>
  <si>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</si>
  <si>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</si>
  <si>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</si>
  <si>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</si>
  <si>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</si>
  <si>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</si>
  <si>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</si>
  <si>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</si>
  <si>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</si>
  <si>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</si>
  <si>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</si>
  <si>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</si>
  <si>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</si>
  <si>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</si>
  <si>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</si>
  <si>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</si>
  <si>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</si>
  <si>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</si>
  <si>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</si>
  <si>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</si>
  <si>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</si>
  <si>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</si>
  <si>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</si>
  <si>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</si>
  <si>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</si>
  <si>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</si>
  <si>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</si>
  <si>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</si>
  <si>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</si>
  <si>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</si>
  <si>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</si>
  <si>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</si>
  <si>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</si>
  <si>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</si>
  <si>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</si>
  <si>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</si>
  <si>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</si>
  <si>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</si>
  <si>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</si>
  <si>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</si>
  <si>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</si>
  <si>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</si>
  <si>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</si>
  <si>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</si>
  <si>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</si>
  <si>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</si>
  <si>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</si>
  <si>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</si>
  <si>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</si>
  <si>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</si>
  <si>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</si>
  <si>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</si>
  <si>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</si>
  <si>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</si>
  <si>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</si>
  <si>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</si>
  <si>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</si>
  <si>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</si>
  <si>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</si>
  <si>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</si>
  <si>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</si>
  <si>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</si>
  <si>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</si>
  <si>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</si>
  <si>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</si>
  <si>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</si>
  <si>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</si>
  <si>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</si>
  <si>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</si>
  <si>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</si>
  <si>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</si>
  <si>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</si>
  <si>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</si>
  <si>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</si>
  <si>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</si>
  <si>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</si>
  <si>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</si>
  <si>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</si>
  <si>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</si>
  <si>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</si>
  <si>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</si>
  <si>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</si>
  <si>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</si>
  <si>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</si>
  <si>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</si>
  <si>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</si>
  <si>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</si>
  <si>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</si>
  <si>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</si>
  <si>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</si>
  <si>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</si>
  <si>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</si>
  <si>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</si>
  <si>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</si>
  <si>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</si>
  <si>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</si>
  <si>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</si>
  <si>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</si>
  <si>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</si>
  <si>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</si>
  <si>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</si>
  <si>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</si>
  <si>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</si>
  <si>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</si>
  <si>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</si>
  <si>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</si>
  <si>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</si>
  <si>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</si>
  <si>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</si>
  <si>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</si>
  <si>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</si>
  <si>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</si>
  <si>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</si>
  <si>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</si>
  <si>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</si>
  <si>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</si>
  <si>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</si>
  <si>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</si>
  <si>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</si>
  <si>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</si>
  <si>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</si>
  <si>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</si>
  <si>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</si>
  <si>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</si>
  <si>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</si>
  <si>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</si>
  <si>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</si>
  <si>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</si>
  <si>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</si>
  <si>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</si>
  <si>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</si>
  <si>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</si>
  <si>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</si>
  <si>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</si>
  <si>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</si>
  <si>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</si>
  <si>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</si>
  <si>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</si>
  <si>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</si>
  <si>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</si>
  <si>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</si>
  <si>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</si>
  <si>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</si>
  <si>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</si>
  <si>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</si>
  <si>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</si>
  <si>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</si>
  <si>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</si>
  <si>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</si>
  <si>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</si>
  <si>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</si>
  <si>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</si>
  <si>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</si>
  <si>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</si>
  <si>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</si>
  <si>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</si>
  <si>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</si>
  <si>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</si>
  <si>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</si>
  <si>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</si>
  <si>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</si>
  <si>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</si>
  <si>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</si>
  <si>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</si>
  <si>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</si>
  <si>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</si>
  <si>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</si>
  <si>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</si>
  <si>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</si>
  <si>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</si>
  <si>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</si>
  <si>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</si>
  <si>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</si>
  <si>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</si>
  <si>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</si>
  <si>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</si>
  <si>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</si>
  <si>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</si>
  <si>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</si>
  <si>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</si>
  <si>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</si>
  <si>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</si>
  <si>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</si>
  <si>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</si>
  <si>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</si>
  <si>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</si>
  <si>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</si>
  <si>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</si>
  <si>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</si>
  <si>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</si>
  <si>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</si>
  <si>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</si>
  <si>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</si>
  <si>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</si>
  <si>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</si>
  <si>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</si>
  <si>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</si>
  <si>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</si>
  <si>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</si>
  <si>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</si>
  <si>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</si>
  <si>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</si>
  <si>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</si>
  <si>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</si>
  <si>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</si>
  <si>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</si>
  <si>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</si>
  <si>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</si>
  <si>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</si>
  <si>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</si>
  <si>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</si>
  <si>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</si>
  <si>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</si>
  <si>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</si>
  <si>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</si>
  <si>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</si>
  <si>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</si>
  <si>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</si>
  <si>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</si>
  <si>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</si>
  <si>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</si>
  <si>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</si>
  <si>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</si>
  <si>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</si>
  <si>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</si>
  <si>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</si>
  <si>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</si>
  <si>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</si>
  <si>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</si>
  <si>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</si>
  <si>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</si>
  <si>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</si>
  <si>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</si>
  <si>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</si>
  <si>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</si>
  <si>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</si>
  <si>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</si>
  <si>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</si>
  <si>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</si>
  <si>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</si>
  <si>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</si>
  <si>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</si>
  <si>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</si>
  <si>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</si>
  <si>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</si>
  <si>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</si>
  <si>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</si>
  <si>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</si>
  <si>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</si>
  <si>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</si>
  <si>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</si>
  <si>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</si>
  <si>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</si>
  <si>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</si>
  <si>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</si>
  <si>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</si>
  <si>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</si>
  <si>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</si>
  <si>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</si>
  <si>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</si>
  <si>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</si>
  <si>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</si>
  <si>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</si>
  <si>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</si>
  <si>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</si>
  <si>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</si>
  <si>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</si>
  <si>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</si>
  <si>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</si>
  <si>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</si>
  <si>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</si>
  <si>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</si>
  <si>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</si>
  <si>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</si>
  <si>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</si>
  <si>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</si>
  <si>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</si>
  <si>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</si>
  <si>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</si>
  <si>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</si>
  <si>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</si>
  <si>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</si>
  <si>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</si>
  <si>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</si>
  <si>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</si>
  <si>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</si>
  <si>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</si>
  <si>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</si>
  <si>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</si>
  <si>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</si>
  <si>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</si>
  <si>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</si>
  <si>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</si>
  <si>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</si>
  <si>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</si>
  <si>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</si>
  <si>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</si>
  <si>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</si>
  <si>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</si>
  <si>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</si>
  <si>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</si>
  <si>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</si>
  <si>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</si>
  <si>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</si>
  <si>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</si>
  <si>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</si>
  <si>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</si>
  <si>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</si>
  <si>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</si>
  <si>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</si>
  <si>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</si>
  <si>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</si>
  <si>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</si>
  <si>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</si>
  <si>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</si>
  <si>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</si>
  <si>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</si>
  <si>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</si>
  <si>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</si>
  <si>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</si>
  <si>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</si>
  <si>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</si>
  <si>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</si>
  <si>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</si>
  <si>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</si>
  <si>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</si>
  <si>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</si>
  <si>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</si>
  <si>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</si>
  <si>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</si>
  <si>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</si>
  <si>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</si>
  <si>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</si>
  <si>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</si>
  <si>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</si>
  <si>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</si>
  <si>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</si>
  <si>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</si>
  <si>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</si>
  <si>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</si>
  <si>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</si>
  <si>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</si>
  <si>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</si>
  <si>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</si>
  <si>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</si>
  <si>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</si>
  <si>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</si>
  <si>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</si>
  <si>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</si>
  <si>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</si>
  <si>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</si>
  <si>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</si>
  <si>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</si>
  <si>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</si>
  <si>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</si>
  <si>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</si>
  <si>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</si>
  <si>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</si>
  <si>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</si>
  <si>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</si>
  <si>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</si>
  <si>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</si>
  <si>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</si>
  <si>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</si>
  <si>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</si>
  <si>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</si>
  <si>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</si>
  <si>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</si>
  <si>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</si>
  <si>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</si>
  <si>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</si>
  <si>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</si>
  <si>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</si>
  <si>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</si>
  <si>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</si>
  <si>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</si>
  <si>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</si>
  <si>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</si>
  <si>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</si>
  <si>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</si>
  <si>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</si>
  <si>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</si>
  <si>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</si>
  <si>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</si>
  <si>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</si>
  <si>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</si>
  <si>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</si>
  <si>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</si>
  <si>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</si>
  <si>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</si>
  <si>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</si>
  <si>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</si>
  <si>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</si>
  <si>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</si>
  <si>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</si>
  <si>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</si>
  <si>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</si>
  <si>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</si>
  <si>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</si>
  <si>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</si>
  <si>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</si>
  <si>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</si>
  <si>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</si>
  <si>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</si>
  <si>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</si>
  <si>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</si>
  <si>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</si>
  <si>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</si>
  <si>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</si>
  <si>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</si>
  <si>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</si>
  <si>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</si>
  <si>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</si>
  <si>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</si>
  <si>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</si>
  <si>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</si>
  <si>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</si>
  <si>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</si>
  <si>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</si>
  <si>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</si>
  <si>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</si>
  <si>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</si>
  <si>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</si>
  <si>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</si>
  <si>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</si>
  <si>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</si>
  <si>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</si>
  <si>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</si>
  <si>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</si>
  <si>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</si>
  <si>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</si>
  <si>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</si>
  <si>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</si>
  <si>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</si>
  <si>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</si>
  <si>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</si>
  <si>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</si>
  <si>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</si>
  <si>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</si>
  <si>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</si>
  <si>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</si>
  <si>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</si>
  <si>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</si>
  <si>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</si>
  <si>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</si>
  <si>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</si>
  <si>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</si>
  <si>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</si>
  <si>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</si>
  <si>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</si>
  <si>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</si>
  <si>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</si>
  <si>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</si>
  <si>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</si>
  <si>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</si>
  <si>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</si>
  <si>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</si>
  <si>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</si>
  <si>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</si>
  <si>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</si>
  <si>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</si>
  <si>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</si>
  <si>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</si>
  <si>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</si>
  <si>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</si>
  <si>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</si>
  <si>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</si>
  <si>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</si>
  <si>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</si>
  <si>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</si>
  <si>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</si>
  <si>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</si>
  <si>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</si>
  <si>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</si>
  <si>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</si>
  <si>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</si>
  <si>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</si>
  <si>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</si>
  <si>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</si>
  <si>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</si>
  <si>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</si>
  <si>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</si>
  <si>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</si>
  <si>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</si>
  <si>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</si>
  <si>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</si>
  <si>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</si>
  <si>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</si>
  <si>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</si>
  <si>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</si>
  <si>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</si>
  <si>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</si>
  <si>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</si>
  <si>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</si>
  <si>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</si>
  <si>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</si>
  <si>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</si>
  <si>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</si>
  <si>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</si>
  <si>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</si>
  <si>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</si>
  <si>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</si>
  <si>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</si>
  <si>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</si>
  <si>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</si>
  <si>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</si>
  <si>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</si>
  <si>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</si>
  <si>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</si>
  <si>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</si>
  <si>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</si>
  <si>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</si>
  <si>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</si>
  <si>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</si>
  <si>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</si>
  <si>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</si>
  <si>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</si>
  <si>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</si>
  <si>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</si>
  <si>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</si>
  <si>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</si>
  <si>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</si>
  <si>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</si>
  <si>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</si>
  <si>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</si>
  <si>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</si>
  <si>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</si>
  <si>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</si>
  <si>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</si>
  <si>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</si>
  <si>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</si>
  <si>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</si>
  <si>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</si>
  <si>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</si>
  <si>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</si>
  <si>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</si>
  <si>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</si>
  <si>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</si>
  <si>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</si>
  <si>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</si>
  <si>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</si>
  <si>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</si>
  <si>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</si>
  <si>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</si>
  <si>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</si>
  <si>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</si>
  <si>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</si>
  <si>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</si>
  <si>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</si>
  <si>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</si>
  <si>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</si>
  <si>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</si>
  <si>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</si>
  <si>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</si>
  <si>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</si>
  <si>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</si>
  <si>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</si>
  <si>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</si>
  <si>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</si>
  <si>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</si>
  <si>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</si>
  <si>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</si>
  <si>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</si>
  <si>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</si>
  <si>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</si>
  <si>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</si>
  <si>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</si>
  <si>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</si>
  <si>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</si>
  <si>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</si>
  <si>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</si>
  <si>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</si>
  <si>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</si>
  <si>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</si>
  <si>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</si>
  <si>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</si>
  <si>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</si>
  <si>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</si>
  <si>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</si>
  <si>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</si>
  <si>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</si>
  <si>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</si>
  <si>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</si>
  <si>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</si>
  <si>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</si>
  <si>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</si>
  <si>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</si>
  <si>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</si>
  <si>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</si>
  <si>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</si>
  <si>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</si>
  <si>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</si>
  <si>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</si>
  <si>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</si>
  <si>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</si>
  <si>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</si>
  <si>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</si>
  <si>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</si>
  <si>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</si>
  <si>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</si>
  <si>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</si>
  <si>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</si>
  <si>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</si>
  <si>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</si>
  <si>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</si>
  <si>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</si>
  <si>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</si>
  <si>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</si>
  <si>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</si>
  <si>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</si>
  <si>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</si>
  <si>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</si>
  <si>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</si>
  <si>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</si>
  <si>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</si>
  <si>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</si>
  <si>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</si>
  <si>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</si>
  <si>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</si>
  <si>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</si>
  <si>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</si>
  <si>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</si>
  <si>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</si>
  <si>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</si>
  <si>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</si>
  <si>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</si>
  <si>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</si>
  <si>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</si>
  <si>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</si>
  <si>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</si>
  <si>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</si>
  <si>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</si>
  <si>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</si>
  <si>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</si>
  <si>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</si>
  <si>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</si>
  <si>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</si>
  <si>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</si>
  <si>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</si>
  <si>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</si>
  <si>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</si>
  <si>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</si>
  <si>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</si>
  <si>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</si>
  <si>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</si>
  <si>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</si>
  <si>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</si>
  <si>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</si>
  <si>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</si>
  <si>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</si>
  <si>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</si>
  <si>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</si>
  <si>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</si>
  <si>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</si>
  <si>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</si>
  <si>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</si>
  <si>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</si>
  <si>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</si>
  <si>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</si>
  <si>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</si>
  <si>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</si>
  <si>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</si>
  <si>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</si>
  <si>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</si>
  <si>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</si>
  <si>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</si>
  <si>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</si>
  <si>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</si>
  <si>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</si>
  <si>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</si>
  <si>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</si>
  <si>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</si>
  <si>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</si>
  <si>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</si>
  <si>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</si>
  <si>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</si>
  <si>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</si>
  <si>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</si>
  <si>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</si>
  <si>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</si>
  <si>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</si>
  <si>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</si>
  <si>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</si>
  <si>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</si>
  <si>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</si>
  <si>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</si>
  <si>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</si>
  <si>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</si>
  <si>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</si>
  <si>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</si>
  <si>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</si>
  <si>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</si>
  <si>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</si>
  <si>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</si>
  <si>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</si>
  <si>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</si>
  <si>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</si>
  <si>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</si>
  <si>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</si>
  <si>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</si>
  <si>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</si>
  <si>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</si>
  <si>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</si>
  <si>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</si>
  <si>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</si>
  <si>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</si>
  <si>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</si>
  <si>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</si>
  <si>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</si>
  <si>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</si>
  <si>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</si>
  <si>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</si>
  <si>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</si>
  <si>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</si>
  <si>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</si>
  <si>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</si>
  <si>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</si>
  <si>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</si>
  <si>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</si>
  <si>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</si>
  <si>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</si>
  <si>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</si>
  <si>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</si>
  <si>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</si>
  <si>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</si>
  <si>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</si>
  <si>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</si>
  <si>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</si>
  <si>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</si>
  <si>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</si>
  <si>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</si>
  <si>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</si>
  <si>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</si>
  <si>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</si>
  <si>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</si>
  <si>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</si>
  <si>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</si>
  <si>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</si>
  <si>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</si>
  <si>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</si>
  <si>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</si>
  <si>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</si>
  <si>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</si>
  <si>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</si>
  <si>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</si>
  <si>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</si>
  <si>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</si>
  <si>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</si>
  <si>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</si>
  <si>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</si>
  <si>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</si>
  <si>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</si>
  <si>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</si>
  <si>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</si>
  <si>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</si>
  <si>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</si>
  <si>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</si>
  <si>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</si>
  <si>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</si>
  <si>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</si>
  <si>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</si>
  <si>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</si>
  <si>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</si>
  <si>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</si>
  <si>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</si>
  <si>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</si>
  <si>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</si>
  <si>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</si>
  <si>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</si>
  <si>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</si>
  <si>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</si>
  <si>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</si>
  <si>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</si>
  <si>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</si>
  <si>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</si>
  <si>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</si>
  <si>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</si>
  <si>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</si>
  <si>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</si>
  <si>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</si>
  <si>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</si>
  <si>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</si>
  <si>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</si>
  <si>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</si>
  <si>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</si>
  <si>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</si>
  <si>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</si>
  <si>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</si>
  <si>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</si>
  <si>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</si>
  <si>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</si>
  <si>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</si>
  <si>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</si>
  <si>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</si>
  <si>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</si>
  <si>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</si>
  <si>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</si>
  <si>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</si>
  <si>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</si>
  <si>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</si>
  <si>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</si>
  <si>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</si>
  <si>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</si>
  <si>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</si>
  <si>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</si>
  <si>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</si>
  <si>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</si>
  <si>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</si>
  <si>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</si>
  <si>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</si>
  <si>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</si>
  <si>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</si>
  <si>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</si>
  <si>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</si>
  <si>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</si>
  <si>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</si>
  <si>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</si>
  <si>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</si>
  <si>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</si>
  <si>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</si>
  <si>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</si>
  <si>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</si>
  <si>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</si>
  <si>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</si>
  <si>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</si>
  <si>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</si>
  <si>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</si>
  <si>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</si>
  <si>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</si>
  <si>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</si>
  <si>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</si>
  <si>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</si>
  <si>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</si>
  <si>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</si>
  <si>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</si>
  <si>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</si>
  <si>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</si>
  <si>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</si>
  <si>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</si>
  <si>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</si>
  <si>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</si>
  <si>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</si>
  <si>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</si>
  <si>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</si>
  <si>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</si>
  <si>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</si>
  <si>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</si>
  <si>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</si>
  <si>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</si>
  <si>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</si>
  <si>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</si>
  <si>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</si>
  <si>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</si>
  <si>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</si>
  <si>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</si>
  <si>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</si>
  <si>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</si>
  <si>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</si>
  <si>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</si>
  <si>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</si>
  <si>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</si>
  <si>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</si>
  <si>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</si>
  <si>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</si>
  <si>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</si>
  <si>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</si>
  <si>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</si>
  <si>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</si>
  <si>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</si>
  <si>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</si>
  <si>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</si>
  <si>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</si>
  <si>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</si>
  <si>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</si>
  <si>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</si>
  <si>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</si>
  <si>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</si>
  <si>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</si>
  <si>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</si>
  <si>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</si>
  <si>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</si>
  <si>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</si>
  <si>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</si>
  <si>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</si>
  <si>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</si>
  <si>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</si>
  <si>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</si>
  <si>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</si>
  <si>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</si>
  <si>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</si>
  <si>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</si>
  <si>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</si>
  <si>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</si>
  <si>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</si>
  <si>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</si>
  <si>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</si>
  <si>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</si>
  <si>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</si>
  <si>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</si>
  <si>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</si>
  <si>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</si>
  <si>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</si>
  <si>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</si>
  <si>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</si>
  <si>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</si>
  <si>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</si>
  <si>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</si>
  <si>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</si>
  <si>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</si>
  <si>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</si>
  <si>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</si>
  <si>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</si>
  <si>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</si>
  <si>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</si>
  <si>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</si>
  <si>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</si>
  <si>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</si>
  <si>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</si>
  <si>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</si>
  <si>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</si>
  <si>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</si>
  <si>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</si>
  <si>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</si>
  <si>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</si>
  <si>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</si>
  <si>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</si>
  <si>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</si>
  <si>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</si>
  <si>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</si>
  <si>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</si>
  <si>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</si>
  <si>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</si>
  <si>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</si>
  <si>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</si>
  <si>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</si>
  <si>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</si>
  <si>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</si>
  <si>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</si>
  <si>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</si>
  <si>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</si>
  <si>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</si>
  <si>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</si>
  <si>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</si>
  <si>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</si>
  <si>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</si>
  <si>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</si>
  <si>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</si>
  <si>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</si>
  <si>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</si>
  <si>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</si>
  <si>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</si>
  <si>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</si>
  <si>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</si>
  <si>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</si>
  <si>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</si>
  <si>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</si>
  <si>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</si>
  <si>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</si>
  <si>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</si>
  <si>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</si>
  <si>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</si>
  <si>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</si>
  <si>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</si>
  <si>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</si>
  <si>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</si>
  <si>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</si>
  <si>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</si>
  <si>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</si>
  <si>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</si>
  <si>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</si>
  <si>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</si>
  <si>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</si>
  <si>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</si>
  <si>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</si>
  <si>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</si>
  <si>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</si>
  <si>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</si>
  <si>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</si>
  <si>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</si>
  <si>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</si>
  <si>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</si>
  <si>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</si>
  <si>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</si>
  <si>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</si>
  <si>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</si>
  <si>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</si>
  <si>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</si>
  <si>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</si>
  <si>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</si>
  <si>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</si>
  <si>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</si>
  <si>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</si>
  <si>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</si>
  <si>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</si>
  <si>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</si>
  <si>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</si>
  <si>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</si>
  <si>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</si>
  <si>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</si>
  <si>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</si>
  <si>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</si>
  <si>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</si>
  <si>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</si>
  <si>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</si>
  <si>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</si>
  <si>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</si>
  <si>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</si>
  <si>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</si>
  <si>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</si>
  <si>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</si>
  <si>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</si>
  <si>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</si>
  <si>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</si>
  <si>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</si>
  <si>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</si>
  <si>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</si>
  <si>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</si>
  <si>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</si>
  <si>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</si>
  <si>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</si>
  <si>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</si>
  <si>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</si>
  <si>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</si>
  <si>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</si>
  <si>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</si>
  <si>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</si>
  <si>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</si>
  <si>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</si>
  <si>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</si>
  <si>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</si>
  <si>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</si>
  <si>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</si>
  <si>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</si>
  <si>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</si>
  <si>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</si>
  <si>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</si>
  <si>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</si>
  <si>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</si>
  <si>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</si>
  <si>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</si>
  <si>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</si>
  <si>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</si>
  <si>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</si>
  <si>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</si>
  <si>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</si>
  <si>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</si>
  <si>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</si>
  <si>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</si>
  <si>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</si>
  <si>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</si>
  <si>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</si>
  <si>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</si>
  <si>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</si>
  <si>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</si>
  <si>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</si>
  <si>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</si>
  <si>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</si>
  <si>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</si>
  <si>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</si>
  <si>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</si>
  <si>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</si>
  <si>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</si>
  <si>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</si>
  <si>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</si>
  <si>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</si>
  <si>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</si>
  <si>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</si>
  <si>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</si>
  <si>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</si>
  <si>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</si>
  <si>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</si>
  <si>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</si>
  <si>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</si>
  <si>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</si>
  <si>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</si>
  <si>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</si>
  <si>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</si>
  <si>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</si>
  <si>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</si>
  <si>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</si>
  <si>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</si>
  <si>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</si>
  <si>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</si>
  <si>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</si>
  <si>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</si>
  <si>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</si>
  <si>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</si>
  <si>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</si>
  <si>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</si>
  <si>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</si>
  <si>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</si>
  <si>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</si>
  <si>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</si>
  <si>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</si>
  <si>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</si>
  <si>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</si>
  <si>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</si>
  <si>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</si>
  <si>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</si>
  <si>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</si>
  <si>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</si>
  <si>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</si>
  <si>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</si>
  <si>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</si>
  <si>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</si>
  <si>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</si>
  <si>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</si>
  <si>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</si>
  <si>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</si>
  <si>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</si>
  <si>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</si>
  <si>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</si>
  <si>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</si>
  <si>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</si>
  <si>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</si>
  <si>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</si>
  <si>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</si>
  <si>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</si>
  <si>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</si>
  <si>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</si>
  <si>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</si>
  <si>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</si>
  <si>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</si>
  <si>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</si>
  <si>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</si>
  <si>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</si>
  <si>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</si>
  <si>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</si>
  <si>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</si>
  <si>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</si>
  <si>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</si>
  <si>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</si>
  <si>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</si>
  <si>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</si>
  <si>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</si>
  <si>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</si>
  <si>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</si>
  <si>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</si>
  <si>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</si>
  <si>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</si>
  <si>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</si>
  <si>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</si>
  <si>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</si>
  <si>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</si>
  <si>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</si>
  <si>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</si>
  <si>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</si>
  <si>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</si>
  <si>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</si>
  <si>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</si>
  <si>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</si>
  <si>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</si>
  <si>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</si>
  <si>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</si>
  <si>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</si>
  <si>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</si>
  <si>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</si>
  <si>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</si>
  <si>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</si>
  <si>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</si>
  <si>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</si>
  <si>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</si>
  <si>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</si>
  <si>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</si>
  <si>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</si>
  <si>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</si>
  <si>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</si>
  <si>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</si>
  <si>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</si>
  <si>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</si>
  <si>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</si>
  <si>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</si>
  <si>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</si>
  <si>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</si>
  <si>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</si>
  <si>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</si>
  <si>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</si>
  <si>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</si>
  <si>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</si>
  <si>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</si>
  <si>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</si>
  <si>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</si>
  <si>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</si>
  <si>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</si>
  <si>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</si>
  <si>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</si>
  <si>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</si>
  <si>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</si>
  <si>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</si>
  <si>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</si>
  <si>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</si>
  <si>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</si>
  <si>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</si>
  <si>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</si>
  <si>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</si>
  <si>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</si>
  <si>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</si>
  <si>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</si>
  <si>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</si>
  <si>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</si>
  <si>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</si>
  <si>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</si>
  <si>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</si>
  <si>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</si>
  <si>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</si>
  <si>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</si>
  <si>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</si>
  <si>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</si>
  <si>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</si>
  <si>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</si>
  <si>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</si>
  <si>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</si>
  <si>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</si>
  <si>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</si>
  <si>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</si>
  <si>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</si>
  <si>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</si>
  <si>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</si>
  <si>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</si>
  <si>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</si>
  <si>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</si>
  <si>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</si>
  <si>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</si>
  <si>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</si>
  <si>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</si>
  <si>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</si>
  <si>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</si>
  <si>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</si>
  <si>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</si>
  <si>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</si>
  <si>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</si>
  <si>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</si>
  <si>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</si>
  <si>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</si>
  <si>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</si>
  <si>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</si>
  <si>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</si>
  <si>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</si>
  <si>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</si>
  <si>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</si>
  <si>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</si>
  <si>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</si>
  <si>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</si>
  <si>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</si>
  <si>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</si>
  <si>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</si>
  <si>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</si>
  <si>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</si>
  <si>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</si>
  <si>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</si>
  <si>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</si>
  <si>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</si>
  <si>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</si>
  <si>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</si>
  <si>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</si>
  <si>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</si>
  <si>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</si>
  <si>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</si>
  <si>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</si>
  <si>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</si>
  <si>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</si>
  <si>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</si>
  <si>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</si>
  <si>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</si>
  <si>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</si>
  <si>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</si>
  <si>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</si>
  <si>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</si>
  <si>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</si>
  <si>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</si>
  <si>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</si>
  <si>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</si>
  <si>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</si>
  <si>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</si>
  <si>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</si>
  <si>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</si>
  <si>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</si>
  <si>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</si>
  <si>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</si>
  <si>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</si>
  <si>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</si>
  <si>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</si>
  <si>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</si>
  <si>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</si>
  <si>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</si>
  <si>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</si>
  <si>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</si>
  <si>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</si>
  <si>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</si>
  <si>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</si>
  <si>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</si>
  <si>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</si>
  <si>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</si>
  <si>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</si>
  <si>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</si>
  <si>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</si>
  <si>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</si>
  <si>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</si>
  <si>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</si>
  <si>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</si>
  <si>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</si>
  <si>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</si>
  <si>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</si>
  <si>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</si>
  <si>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</si>
  <si>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</si>
  <si>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</si>
  <si>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</si>
  <si>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</si>
  <si>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</si>
  <si>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</si>
  <si>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</si>
  <si>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</si>
  <si>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</si>
  <si>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</si>
  <si>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</si>
  <si>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</si>
  <si>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</si>
  <si>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</si>
  <si>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</si>
  <si>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</si>
  <si>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</si>
  <si>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</si>
  <si>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</si>
  <si>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</si>
  <si>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</si>
  <si>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</si>
  <si>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</si>
  <si>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</si>
  <si>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</si>
  <si>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</si>
  <si>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</si>
  <si>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</si>
  <si>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</si>
  <si>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</si>
  <si>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</si>
  <si>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</si>
  <si>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</si>
  <si>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</si>
  <si>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</si>
  <si>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</si>
  <si>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</si>
  <si>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</si>
  <si>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</si>
  <si>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</si>
  <si>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</si>
  <si>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</si>
  <si>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</si>
  <si>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</si>
  <si>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</si>
  <si>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</si>
  <si>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</si>
  <si>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</si>
  <si>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</si>
  <si>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</si>
  <si>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</si>
  <si>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</si>
  <si>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</si>
  <si>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</si>
  <si>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</si>
  <si>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</si>
  <si>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</si>
  <si>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</si>
  <si>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</si>
  <si>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</si>
  <si>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</si>
  <si>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</si>
  <si>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</si>
  <si>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</si>
  <si>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</si>
  <si>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</si>
  <si>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</si>
  <si>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</si>
  <si>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</si>
  <si>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</si>
  <si>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</si>
  <si>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</si>
  <si>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</si>
  <si>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</si>
  <si>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</si>
  <si>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</si>
  <si>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</si>
  <si>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</si>
  <si>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</si>
  <si>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</si>
  <si>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</si>
  <si>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</si>
  <si>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</si>
  <si>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</si>
  <si>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</si>
  <si>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</si>
  <si>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</si>
  <si>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</si>
  <si>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</si>
  <si>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</si>
  <si>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</si>
  <si>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</si>
  <si>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</si>
  <si>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</si>
  <si>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</si>
  <si>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</si>
  <si>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</si>
  <si>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</si>
  <si>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</si>
  <si>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</si>
  <si>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</si>
  <si>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</si>
  <si>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</si>
  <si>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</si>
  <si>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</si>
  <si>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</si>
  <si>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</si>
  <si>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</si>
  <si>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</si>
  <si>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</si>
  <si>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</si>
  <si>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</si>
  <si>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</si>
  <si>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</si>
  <si>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</si>
  <si>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</si>
  <si>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</si>
  <si>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</si>
  <si>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</si>
  <si>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</si>
  <si>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</si>
  <si>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</si>
  <si>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</si>
  <si>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</si>
  <si>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</si>
  <si>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</si>
  <si>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</si>
  <si>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</si>
  <si>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</si>
  <si>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</si>
  <si>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</si>
  <si>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</si>
  <si>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</si>
  <si>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</si>
  <si>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</si>
  <si>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</si>
  <si>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</si>
  <si>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</si>
  <si>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</si>
  <si>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</si>
  <si>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</si>
  <si>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</si>
  <si>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</si>
  <si>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</si>
  <si>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</si>
  <si>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</si>
  <si>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</si>
  <si>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</si>
  <si>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</si>
  <si>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</si>
  <si>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</si>
  <si>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</si>
  <si>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</si>
  <si>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</si>
  <si>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</si>
  <si>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</si>
  <si>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</si>
  <si>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</si>
  <si>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</si>
  <si>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</si>
  <si>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</si>
  <si>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</si>
  <si>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</si>
  <si>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</si>
  <si>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</si>
  <si>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</si>
  <si>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</si>
  <si>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</si>
  <si>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</si>
  <si>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</si>
  <si>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</si>
  <si>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</si>
  <si>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</si>
  <si>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</si>
  <si>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</si>
  <si>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</si>
  <si>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</si>
  <si>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</si>
  <si>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</si>
  <si>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</si>
  <si>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</si>
  <si>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</si>
  <si>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</si>
  <si>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</si>
  <si>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</si>
  <si>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</si>
  <si>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</si>
  <si>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</si>
  <si>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</si>
  <si>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</si>
  <si>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</si>
  <si>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</si>
  <si>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</si>
  <si>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</si>
  <si>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</si>
  <si>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</si>
  <si>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</si>
  <si>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</si>
  <si>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</si>
  <si>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</si>
  <si>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</si>
  <si>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</si>
  <si>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</si>
  <si>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</si>
  <si>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</si>
  <si>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</si>
  <si>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</si>
  <si>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</si>
  <si>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</si>
  <si>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</si>
  <si>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</si>
  <si>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</si>
  <si>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</si>
  <si>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</si>
  <si>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</si>
  <si>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</si>
  <si>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</si>
  <si>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</si>
  <si>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</si>
  <si>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</si>
  <si>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</si>
  <si>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</si>
  <si>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</si>
  <si>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</si>
  <si>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</si>
  <si>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</si>
  <si>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</si>
  <si>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</si>
  <si>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</si>
  <si>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</si>
  <si>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</si>
  <si>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</si>
  <si>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</si>
  <si>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</si>
  <si>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</si>
  <si>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</si>
  <si>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</si>
  <si>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</si>
  <si>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</si>
  <si>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</si>
  <si>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</si>
  <si>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</si>
  <si>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</si>
  <si>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</si>
  <si>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</si>
  <si>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</si>
  <si>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</si>
  <si>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</si>
  <si>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</si>
  <si>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</si>
  <si>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</si>
  <si>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</si>
  <si>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</si>
  <si>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</si>
  <si>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</si>
  <si>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</si>
  <si>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</si>
  <si>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</si>
  <si>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</si>
  <si>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</si>
  <si>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</si>
  <si>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</si>
  <si>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</si>
  <si>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</si>
  <si>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</si>
  <si>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</si>
  <si>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</si>
  <si>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</si>
  <si>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</si>
  <si>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</si>
  <si>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</si>
  <si>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</si>
  <si>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</si>
  <si>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</si>
  <si>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</si>
  <si>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</si>
  <si>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</si>
  <si>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</si>
  <si>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</si>
  <si>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</si>
  <si>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</si>
  <si>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</si>
  <si>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</si>
  <si>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</si>
  <si>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</si>
  <si>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</si>
  <si>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</si>
  <si>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</si>
  <si>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</si>
  <si>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</si>
  <si>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</si>
  <si>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</si>
  <si>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</si>
  <si>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</si>
  <si>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</si>
  <si>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</si>
  <si>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</si>
  <si>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</si>
  <si>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</si>
  <si>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</si>
  <si>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</si>
  <si>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</si>
  <si>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</si>
  <si>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</si>
  <si>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</si>
  <si>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</si>
  <si>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</si>
  <si>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</si>
  <si>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</si>
  <si>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</si>
  <si>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</si>
  <si>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</si>
  <si>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</si>
  <si>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</si>
  <si>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</si>
  <si>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</si>
  <si>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</si>
  <si>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</si>
  <si>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</si>
  <si>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</si>
  <si>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</si>
  <si>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</si>
  <si>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</si>
  <si>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</si>
  <si>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</si>
  <si>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</si>
  <si>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</si>
  <si>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</si>
  <si>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</si>
  <si>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</si>
  <si>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</si>
  <si>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</si>
  <si>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</si>
  <si>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</si>
  <si>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</si>
  <si>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</si>
  <si>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</si>
  <si>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</si>
  <si>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</si>
  <si>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</si>
  <si>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</si>
  <si>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</si>
  <si>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</si>
  <si>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</si>
  <si>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</si>
  <si>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</si>
  <si>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</si>
  <si>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</si>
  <si>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</si>
  <si>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</si>
  <si>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</si>
  <si>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</si>
  <si>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</si>
  <si>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</si>
  <si>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</si>
  <si>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</si>
  <si>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</si>
  <si>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</si>
  <si>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</si>
  <si>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</si>
  <si>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</si>
  <si>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</si>
  <si>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</si>
  <si>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</si>
  <si>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</si>
  <si>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</si>
  <si>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</si>
  <si>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</si>
  <si>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</si>
  <si>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</si>
  <si>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</si>
  <si>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</si>
  <si>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</si>
  <si>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</si>
  <si>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</si>
  <si>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</si>
  <si>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</si>
  <si>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</si>
  <si>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</si>
  <si>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</si>
  <si>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</si>
  <si>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</si>
  <si>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</si>
  <si>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</si>
  <si>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</si>
  <si>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</si>
  <si>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</si>
  <si>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</si>
  <si>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</si>
  <si>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</si>
  <si>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</si>
  <si>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</si>
  <si>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</si>
  <si>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</si>
  <si>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</si>
  <si>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</si>
  <si>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</si>
  <si>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</si>
  <si>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</si>
  <si>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</si>
  <si>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</si>
  <si>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</si>
  <si>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</si>
  <si>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</si>
  <si>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</si>
  <si>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</si>
  <si>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</si>
  <si>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</si>
  <si>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</si>
  <si>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</si>
  <si>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</si>
  <si>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</si>
  <si>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</si>
  <si>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</si>
  <si>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</si>
  <si>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</si>
  <si>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</si>
  <si>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</si>
  <si>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</si>
  <si>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</si>
  <si>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</si>
  <si>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</si>
  <si>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</si>
  <si>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</si>
  <si>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</si>
  <si>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</si>
  <si>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</si>
  <si>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</si>
  <si>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</si>
  <si>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</si>
  <si>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</si>
  <si>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</si>
  <si>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</si>
  <si>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</si>
  <si>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</si>
  <si>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</si>
  <si>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</si>
  <si>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</si>
  <si>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</si>
  <si>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</si>
  <si>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</si>
  <si>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</si>
  <si>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</si>
  <si>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</si>
  <si>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</si>
  <si>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</si>
  <si>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</si>
  <si>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</si>
  <si>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</si>
  <si>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</si>
  <si>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</si>
  <si>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</si>
  <si>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</si>
  <si>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</si>
  <si>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</si>
  <si>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</si>
  <si>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</si>
  <si>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</si>
  <si>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</si>
  <si>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</si>
  <si>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</si>
  <si>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</si>
  <si>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</si>
  <si>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</si>
  <si>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</si>
  <si>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</si>
  <si>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</si>
  <si>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</si>
  <si>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</si>
  <si>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</si>
  <si>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</si>
  <si>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</si>
  <si>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</si>
  <si>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</si>
  <si>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</si>
  <si>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</si>
  <si>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</si>
  <si>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</si>
  <si>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</si>
  <si>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</si>
  <si>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</si>
  <si>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</si>
  <si>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</si>
  <si>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</si>
  <si>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</si>
  <si>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</si>
  <si>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</si>
  <si>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</si>
  <si>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</si>
  <si>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</si>
  <si>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</si>
  <si>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</si>
  <si>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</si>
  <si>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</si>
  <si>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</si>
  <si>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</si>
  <si>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</si>
  <si>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</si>
  <si>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</si>
  <si>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</si>
  <si>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</si>
  <si>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</si>
  <si>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</si>
  <si>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</si>
  <si>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</si>
  <si>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</si>
  <si>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</si>
  <si>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</si>
  <si>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</si>
  <si>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</si>
  <si>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</si>
  <si>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</si>
  <si>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</si>
  <si>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</si>
  <si>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</si>
  <si>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</si>
  <si>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</si>
  <si>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</si>
  <si>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</si>
  <si>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</si>
  <si>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</si>
  <si>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</si>
  <si>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</si>
  <si>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</si>
  <si>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</si>
  <si>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</si>
  <si>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</si>
  <si>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</si>
  <si>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</si>
  <si>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</si>
  <si>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</si>
  <si>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</si>
  <si>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</si>
  <si>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</si>
  <si>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</si>
  <si>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</si>
  <si>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</si>
  <si>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</si>
  <si>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</si>
  <si>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</si>
  <si>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</si>
  <si>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</si>
  <si>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</si>
  <si>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</si>
  <si>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</si>
  <si>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</si>
  <si>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</si>
  <si>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</si>
  <si>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</si>
  <si>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</si>
  <si>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</si>
  <si>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</si>
  <si>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</si>
  <si>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</si>
  <si>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</si>
  <si>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</si>
  <si>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</si>
  <si>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</si>
  <si>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</si>
  <si>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</si>
  <si>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</si>
  <si>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</si>
  <si>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</si>
  <si>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</si>
  <si>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</si>
  <si>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</si>
  <si>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</si>
  <si>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</si>
  <si>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</si>
  <si>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</si>
  <si>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</si>
  <si>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</si>
  <si>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</si>
  <si>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</si>
  <si>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</si>
  <si>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</si>
  <si>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</si>
  <si>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</si>
  <si>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</si>
  <si>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</si>
  <si>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</si>
  <si>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</si>
  <si>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</si>
  <si>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</si>
  <si>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</si>
  <si>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</si>
  <si>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</si>
  <si>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</si>
  <si>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</si>
  <si>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</si>
  <si>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</si>
  <si>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</si>
  <si>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</si>
  <si>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</si>
  <si>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</si>
  <si>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</si>
  <si>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</si>
  <si>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</si>
  <si>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</si>
  <si>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</si>
  <si>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</si>
  <si>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</si>
  <si>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</si>
  <si>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</si>
  <si>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</si>
  <si>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</si>
  <si>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</si>
  <si>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</si>
  <si>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</si>
  <si>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</si>
  <si>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</si>
  <si>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</si>
  <si>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</si>
  <si>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</si>
  <si>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</si>
  <si>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</si>
  <si>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</si>
  <si>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</si>
  <si>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</si>
  <si>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</si>
  <si>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</si>
  <si>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</si>
  <si>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</si>
  <si>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</si>
  <si>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</si>
  <si>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</si>
  <si>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</si>
  <si>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</si>
  <si>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</si>
  <si>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</si>
  <si>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</si>
  <si>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</si>
  <si>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</si>
  <si>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</si>
  <si>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</si>
  <si>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</si>
  <si>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</si>
  <si>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</si>
  <si>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</si>
  <si>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</si>
  <si>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</si>
  <si>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</si>
  <si>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</si>
  <si>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</si>
  <si>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</si>
  <si>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</si>
  <si>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</si>
  <si>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</si>
  <si>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</si>
  <si>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</si>
  <si>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</si>
  <si>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</si>
  <si>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</si>
  <si>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</si>
  <si>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</si>
  <si>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</si>
  <si>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</si>
  <si>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</si>
  <si>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</si>
  <si>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</si>
  <si>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</si>
  <si>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</si>
  <si>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</si>
  <si>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</si>
  <si>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</si>
  <si>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</si>
  <si>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</si>
  <si>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</si>
  <si>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</si>
  <si>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</si>
  <si>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</si>
  <si>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</si>
  <si>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</si>
  <si>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</si>
  <si>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</si>
  <si>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</si>
  <si>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</si>
  <si>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</si>
  <si>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</si>
  <si>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</si>
  <si>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</si>
  <si>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</si>
  <si>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</si>
  <si>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</si>
  <si>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</si>
  <si>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</si>
  <si>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</si>
  <si>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</si>
  <si>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</si>
  <si>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</si>
  <si>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</si>
  <si>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</si>
  <si>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</si>
  <si>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</si>
  <si>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</si>
  <si>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</si>
  <si>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</si>
  <si>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</si>
  <si>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</si>
  <si>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</si>
  <si>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</si>
  <si>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</si>
  <si>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</si>
  <si>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</si>
  <si>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</si>
  <si>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</si>
  <si>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</si>
  <si>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</si>
  <si>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</si>
  <si>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</si>
  <si>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</si>
  <si>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</si>
  <si>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</si>
  <si>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</si>
  <si>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</si>
  <si>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</si>
  <si>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</si>
  <si>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</si>
  <si>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</si>
  <si>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</si>
  <si>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</si>
  <si>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</si>
  <si>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</si>
  <si>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</si>
  <si>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</si>
  <si>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</si>
  <si>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</si>
  <si>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</si>
  <si>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</si>
  <si>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</si>
  <si>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</si>
  <si>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</si>
  <si>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</si>
  <si>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</si>
  <si>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</si>
  <si>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</si>
  <si>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</si>
  <si>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</si>
  <si>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</si>
  <si>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</si>
  <si>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</si>
  <si>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</si>
  <si>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</si>
  <si>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</si>
  <si>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</si>
  <si>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</si>
  <si>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</si>
  <si>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</si>
  <si>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</si>
  <si>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</si>
  <si>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</si>
  <si>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</si>
  <si>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</si>
  <si>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</si>
  <si>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</si>
  <si>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</si>
  <si>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</si>
  <si>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</si>
  <si>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</si>
  <si>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</si>
  <si>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</si>
  <si>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</si>
  <si>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</si>
  <si>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</si>
  <si>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</si>
  <si>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</si>
  <si>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</si>
  <si>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</si>
  <si>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</si>
  <si>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</si>
  <si>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</si>
  <si>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</si>
  <si>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</si>
  <si>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</si>
  <si>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</si>
  <si>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</si>
  <si>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</si>
  <si>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</si>
  <si>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</si>
  <si>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</si>
  <si>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</si>
  <si>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</si>
  <si>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</si>
  <si>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</si>
  <si>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</si>
  <si>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</si>
  <si>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</si>
  <si>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</si>
  <si>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</si>
  <si>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</si>
  <si>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</si>
  <si>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</si>
  <si>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</si>
  <si>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</si>
  <si>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</si>
  <si>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</si>
  <si>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</si>
  <si>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</si>
  <si>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</si>
  <si>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</si>
  <si>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</si>
  <si>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</si>
  <si>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</si>
  <si>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</si>
  <si>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</si>
  <si>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</si>
  <si>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</si>
  <si>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</si>
  <si>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</si>
  <si>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</si>
  <si>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</si>
  <si>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</si>
  <si>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</si>
  <si>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</si>
  <si>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</si>
  <si>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</si>
  <si>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</si>
  <si>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</si>
  <si>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</si>
  <si>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</si>
  <si>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</si>
  <si>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</si>
  <si>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</si>
  <si>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</si>
  <si>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</si>
  <si>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</si>
  <si>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</si>
  <si>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</si>
  <si>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</si>
  <si>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</si>
  <si>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</si>
  <si>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</si>
  <si>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</si>
  <si>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</si>
  <si>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</si>
  <si>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</si>
  <si>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</si>
  <si>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</si>
  <si>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</si>
  <si>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</si>
  <si>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</si>
  <si>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</si>
  <si>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</si>
  <si>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</si>
  <si>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</si>
  <si>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</si>
  <si>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</si>
  <si>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</si>
  <si>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</si>
  <si>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</si>
  <si>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</si>
  <si>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</si>
  <si>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</si>
  <si>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</si>
  <si>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</si>
  <si>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</si>
  <si>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</si>
  <si>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</si>
  <si>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</si>
  <si>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</si>
  <si>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</si>
  <si>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</si>
  <si>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</si>
  <si>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</si>
  <si>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</si>
  <si>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</si>
  <si>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</si>
  <si>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</si>
  <si>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</si>
  <si>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</si>
  <si>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</si>
  <si>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</si>
  <si>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</si>
  <si>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</si>
  <si>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</si>
  <si>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</si>
  <si>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</si>
  <si>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</si>
  <si>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</si>
  <si>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</si>
  <si>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</si>
  <si>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</si>
  <si>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</si>
  <si>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</si>
  <si>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</si>
  <si>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</si>
  <si>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</si>
  <si>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</si>
  <si>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</si>
  <si>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</si>
  <si>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</si>
  <si>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</si>
  <si>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</si>
  <si>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</si>
  <si>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</si>
  <si>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</si>
  <si>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</si>
  <si>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</si>
  <si>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</si>
  <si>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</si>
  <si>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</si>
  <si>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</si>
  <si>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</si>
  <si>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</si>
  <si>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</si>
  <si>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</si>
  <si>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</si>
  <si>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</si>
  <si>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</si>
  <si>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</si>
  <si>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</si>
  <si>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</si>
  <si>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</si>
  <si>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</si>
  <si>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</si>
  <si>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</si>
  <si>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</si>
  <si>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</si>
  <si>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</si>
  <si>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</si>
  <si>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</si>
  <si>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</si>
  <si>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</si>
  <si>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</si>
  <si>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</si>
  <si>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</si>
  <si>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</si>
  <si>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</si>
  <si>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</si>
  <si>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</si>
  <si>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</si>
  <si>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</si>
  <si>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</si>
  <si>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</si>
  <si>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</si>
  <si>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</si>
  <si>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</si>
  <si>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</si>
  <si>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</si>
  <si>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</si>
  <si>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</si>
  <si>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</si>
  <si>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</si>
  <si>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</si>
  <si>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</si>
  <si>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</si>
  <si>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</si>
  <si>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</si>
  <si>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</si>
  <si>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</si>
  <si>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</si>
  <si>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</si>
  <si>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</si>
  <si>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</si>
  <si>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</si>
  <si>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</si>
  <si>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</si>
  <si>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</si>
  <si>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</si>
  <si>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</si>
  <si>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</si>
  <si>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</si>
  <si>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</si>
  <si>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</si>
  <si>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</si>
  <si>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</si>
  <si>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</si>
  <si>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</si>
  <si>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</si>
  <si>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</si>
  <si>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</si>
  <si>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</si>
  <si>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</si>
  <si>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</si>
  <si>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</si>
  <si>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</si>
  <si>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</si>
  <si>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</si>
  <si>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</si>
  <si>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</si>
  <si>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</si>
  <si>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</si>
  <si>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</si>
  <si>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</si>
  <si>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</si>
  <si>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</si>
  <si>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</si>
  <si>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</si>
  <si>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</si>
  <si>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</si>
  <si>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</si>
  <si>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</si>
  <si>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</si>
  <si>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</si>
  <si>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</si>
  <si>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</si>
  <si>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</si>
  <si>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</si>
  <si>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</si>
  <si>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</si>
  <si>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</si>
  <si>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</si>
  <si>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</si>
  <si>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</si>
  <si>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</si>
  <si>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</si>
  <si>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</si>
  <si>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</si>
  <si>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</si>
  <si>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</si>
  <si>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</si>
  <si>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</si>
  <si>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</si>
  <si>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</si>
  <si>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</si>
  <si>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</si>
  <si>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</si>
  <si>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</si>
  <si>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</si>
  <si>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</si>
  <si>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</si>
  <si>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</si>
  <si>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</si>
  <si>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</si>
  <si>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</si>
  <si>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</si>
  <si>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</si>
  <si>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</si>
  <si>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</si>
  <si>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</si>
  <si>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</si>
  <si>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</si>
  <si>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</si>
  <si>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</si>
  <si>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</si>
  <si>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</si>
  <si>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</si>
  <si>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</si>
  <si>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</si>
  <si>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</si>
  <si>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</si>
  <si>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</si>
  <si>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</si>
  <si>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</si>
  <si>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</si>
  <si>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</si>
  <si>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</si>
  <si>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</si>
  <si>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</si>
  <si>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</si>
  <si>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</si>
  <si>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</si>
  <si>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</si>
  <si>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</si>
  <si>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</si>
  <si>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</si>
  <si>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</si>
  <si>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</si>
  <si>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</si>
  <si>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</si>
  <si>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</si>
  <si>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</si>
  <si>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</si>
  <si>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</si>
  <si>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</si>
  <si>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</si>
  <si>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</si>
  <si>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</si>
  <si>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</si>
  <si>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</si>
  <si>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</si>
  <si>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</si>
  <si>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</si>
  <si>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</si>
  <si>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</si>
  <si>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</si>
  <si>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</si>
  <si>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</si>
  <si>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</si>
  <si>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</si>
  <si>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</si>
  <si>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</si>
  <si>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</si>
  <si>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</si>
  <si>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</si>
  <si>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</si>
  <si>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</si>
  <si>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</si>
  <si>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</si>
  <si>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</si>
  <si>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</si>
  <si>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</si>
  <si>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</si>
  <si>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</si>
  <si>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</si>
  <si>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</si>
  <si>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</si>
  <si>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</si>
  <si>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</si>
  <si>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</si>
  <si>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</si>
  <si>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</si>
  <si>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</si>
  <si>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</si>
  <si>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</si>
  <si>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</si>
  <si>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</si>
  <si>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</si>
  <si>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</si>
  <si>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</si>
  <si>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</si>
  <si>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</si>
  <si>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</si>
  <si>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</si>
  <si>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</si>
  <si>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</si>
  <si>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</si>
  <si>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</si>
  <si>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</si>
  <si>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</si>
  <si>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</si>
  <si>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</si>
  <si>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</si>
  <si>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</si>
  <si>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</si>
  <si>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</si>
  <si>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</si>
  <si>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</si>
  <si>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</si>
  <si>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</si>
  <si>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</si>
  <si>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</si>
  <si>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</si>
  <si>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</si>
  <si>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</si>
  <si>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</si>
  <si>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</si>
  <si>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</si>
  <si>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</si>
  <si>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</si>
  <si>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</si>
  <si>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</si>
  <si>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</si>
  <si>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</si>
  <si>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</si>
  <si>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</si>
  <si>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</si>
  <si>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</si>
  <si>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</si>
  <si>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</si>
  <si>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</si>
  <si>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</si>
  <si>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</si>
  <si>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</si>
  <si>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</si>
  <si>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</si>
  <si>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</si>
  <si>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</si>
  <si>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</si>
  <si>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</si>
  <si>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</si>
  <si>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</si>
  <si>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</si>
  <si>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</si>
  <si>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</si>
  <si>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</si>
  <si>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</si>
  <si>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</si>
  <si>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</si>
  <si>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</si>
  <si>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</si>
  <si>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</si>
  <si>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</si>
  <si>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</si>
  <si>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</si>
  <si>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</si>
  <si>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</si>
  <si>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</si>
  <si>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</si>
  <si>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</si>
  <si>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</si>
  <si>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</si>
  <si>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</si>
  <si>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</si>
  <si>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</si>
  <si>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</si>
  <si>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</si>
  <si>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</si>
  <si>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</si>
  <si>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</si>
  <si>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</si>
  <si>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</si>
  <si>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</si>
  <si>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</si>
  <si>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</si>
  <si>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</si>
  <si>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</si>
  <si>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</si>
  <si>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</si>
  <si>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</si>
  <si>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</si>
  <si>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</si>
  <si>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</si>
  <si>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</si>
  <si>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</si>
  <si>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</si>
  <si>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</si>
  <si>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</si>
  <si>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</si>
  <si>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</si>
  <si>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</si>
  <si>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</si>
  <si>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</si>
  <si>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</si>
  <si>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</si>
  <si>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</si>
  <si>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</si>
  <si>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</si>
  <si>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</si>
  <si>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</si>
  <si>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</si>
  <si>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</si>
  <si>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</si>
  <si>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</si>
  <si>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</si>
  <si>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</si>
  <si>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</si>
  <si>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</si>
  <si>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</si>
  <si>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</si>
  <si>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</si>
  <si>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</si>
  <si>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</si>
  <si>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</si>
  <si>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</si>
  <si>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</si>
  <si>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</si>
  <si>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</si>
  <si>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</si>
  <si>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</si>
  <si>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</si>
  <si>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</si>
  <si>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</si>
  <si>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</si>
  <si>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</si>
  <si>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</si>
  <si>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</si>
  <si>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</si>
  <si>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</si>
  <si>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</si>
  <si>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</si>
  <si>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</si>
  <si>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</si>
  <si>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</si>
  <si>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</si>
  <si>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</si>
  <si>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</si>
  <si>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</si>
  <si>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</si>
  <si>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</si>
  <si>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</si>
  <si>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</si>
  <si>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</si>
  <si>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</si>
  <si>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</si>
  <si>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</si>
  <si>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</si>
  <si>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</si>
  <si>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</si>
  <si>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</si>
  <si>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</si>
  <si>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</si>
  <si>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</si>
  <si>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</si>
  <si>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</si>
  <si>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</si>
  <si>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</si>
  <si>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</si>
  <si>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</si>
  <si>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</si>
  <si>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</si>
  <si>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</si>
  <si>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</si>
  <si>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</si>
  <si>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</si>
  <si>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</si>
  <si>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</si>
  <si>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</si>
  <si>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</si>
  <si>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</si>
  <si>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</si>
  <si>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</si>
  <si>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</si>
  <si>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</si>
  <si>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</si>
  <si>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</si>
  <si>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</si>
  <si>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</si>
  <si>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</si>
  <si>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</si>
  <si>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</si>
  <si>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</si>
  <si>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</si>
  <si>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</si>
  <si>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</si>
  <si>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</si>
  <si>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</si>
  <si>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</si>
  <si>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</si>
  <si>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</si>
  <si>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</si>
  <si>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</si>
  <si>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</si>
  <si>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</si>
  <si>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</si>
  <si>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</si>
  <si>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</si>
  <si>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</si>
  <si>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</si>
  <si>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</si>
  <si>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</si>
  <si>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</si>
  <si>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</si>
  <si>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</si>
  <si>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</si>
  <si>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</si>
  <si>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</si>
  <si>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</si>
  <si>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</si>
  <si>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</si>
  <si>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</si>
  <si>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</si>
  <si>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</si>
  <si>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</si>
  <si>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</si>
  <si>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</si>
  <si>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</si>
  <si>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</si>
  <si>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</si>
  <si>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</si>
  <si>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</si>
  <si>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</si>
  <si>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</si>
  <si>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</si>
  <si>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</si>
  <si>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</si>
  <si>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</si>
  <si>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</si>
  <si>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</si>
  <si>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</si>
  <si>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</si>
  <si>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</si>
  <si>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</si>
  <si>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</si>
  <si>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</si>
  <si>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</si>
  <si>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</si>
  <si>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</si>
  <si>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</si>
  <si>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</si>
  <si>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</si>
  <si>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</si>
  <si>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</si>
  <si>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</si>
  <si>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</si>
  <si>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</si>
  <si>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</si>
  <si>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</si>
  <si>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</si>
  <si>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</si>
  <si>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</si>
  <si>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</si>
  <si>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</si>
  <si>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</si>
  <si>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</si>
  <si>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</si>
  <si>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</si>
  <si>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</si>
  <si>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</si>
  <si>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</si>
  <si>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</si>
  <si>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</si>
  <si>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</si>
  <si>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</si>
  <si>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</si>
  <si>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</si>
  <si>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</si>
  <si>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</si>
  <si>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</si>
  <si>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</si>
  <si>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</si>
  <si>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</si>
  <si>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</si>
  <si>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</si>
  <si>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</si>
  <si>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</si>
  <si>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</si>
  <si>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</si>
  <si>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</si>
  <si>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</si>
  <si>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</si>
  <si>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</si>
  <si>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</si>
  <si>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</si>
  <si>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</si>
  <si>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</si>
  <si>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</si>
  <si>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</si>
  <si>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</si>
  <si>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</si>
  <si>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</si>
  <si>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</si>
  <si>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</si>
  <si>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</si>
  <si>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</si>
  <si>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</si>
  <si>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</si>
  <si>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</si>
  <si>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</si>
  <si>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</si>
  <si>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</si>
  <si>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</si>
  <si>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</si>
  <si>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</si>
  <si>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</si>
  <si>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</si>
  <si>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</si>
  <si>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</si>
  <si>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</si>
  <si>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</si>
  <si>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</si>
  <si>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</si>
  <si>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</si>
  <si>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</si>
  <si>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</si>
  <si>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</si>
  <si>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</si>
  <si>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</si>
  <si>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</si>
  <si>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</si>
  <si>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</si>
  <si>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</si>
  <si>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</si>
  <si>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</si>
  <si>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</si>
  <si>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</si>
  <si>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</si>
  <si>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</si>
  <si>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</si>
  <si>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</si>
  <si>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</si>
  <si>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</si>
  <si>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</si>
  <si>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</si>
  <si>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</si>
  <si>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</si>
  <si>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</si>
  <si>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</si>
  <si>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</si>
  <si>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</si>
  <si>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</si>
  <si>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</si>
  <si>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</si>
  <si>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</si>
  <si>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</si>
  <si>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</si>
  <si>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</si>
  <si>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</si>
  <si>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</si>
  <si>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</si>
  <si>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</si>
  <si>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</si>
  <si>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</si>
  <si>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</si>
  <si>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</si>
  <si>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</si>
  <si>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</si>
  <si>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</si>
  <si>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</si>
  <si>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</si>
  <si>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</si>
  <si>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</si>
  <si>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</si>
  <si>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</si>
  <si>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</si>
  <si>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</si>
  <si>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</si>
  <si>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</si>
  <si>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</si>
  <si>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</si>
  <si>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</si>
  <si>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</si>
  <si>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</si>
  <si>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</si>
  <si>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</si>
  <si>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</si>
  <si>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</si>
  <si>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</si>
  <si>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</si>
  <si>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</si>
  <si>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</si>
  <si>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</si>
  <si>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</si>
  <si>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</si>
  <si>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</si>
  <si>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</si>
  <si>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</si>
  <si>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</si>
  <si>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</si>
  <si>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</si>
  <si>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</si>
  <si>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</si>
  <si>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</si>
  <si>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</si>
  <si>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</si>
  <si>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</si>
  <si>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</si>
  <si>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</si>
  <si>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</si>
  <si>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</si>
  <si>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</si>
  <si>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</si>
  <si>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</si>
  <si>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</si>
  <si>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</si>
  <si>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</si>
  <si>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</si>
  <si>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</si>
  <si>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</si>
  <si>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</si>
  <si>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</si>
  <si>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</si>
  <si>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</si>
  <si>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</si>
  <si>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</si>
  <si>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</si>
  <si>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</si>
  <si>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</si>
  <si>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</si>
  <si>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</si>
  <si>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</si>
  <si>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</si>
  <si>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</si>
  <si>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</si>
  <si>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</si>
  <si>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</si>
  <si>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</si>
  <si>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</si>
  <si>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</si>
  <si>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</si>
  <si>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</si>
  <si>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</si>
  <si>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</si>
  <si>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</si>
  <si>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</si>
  <si>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</si>
  <si>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</si>
  <si>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</si>
  <si>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</si>
  <si>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</si>
  <si>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</si>
  <si>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</si>
  <si>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</si>
  <si>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</si>
  <si>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</si>
  <si>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</si>
  <si>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</si>
  <si>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</si>
  <si>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</si>
  <si>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</si>
  <si>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</si>
  <si>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</si>
  <si>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</si>
  <si>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</si>
  <si>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</si>
  <si>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</si>
  <si>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</si>
  <si>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</si>
  <si>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</si>
  <si>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</si>
  <si>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</si>
  <si>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</si>
  <si>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</si>
  <si>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</si>
  <si>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</si>
  <si>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</si>
  <si>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</si>
  <si>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</si>
  <si>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</si>
  <si>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</si>
  <si>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</si>
  <si>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</si>
  <si>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</si>
  <si>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</si>
  <si>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</si>
  <si>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</si>
  <si>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</si>
  <si>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</si>
  <si>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</si>
  <si>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</si>
  <si>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</si>
  <si>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</si>
  <si>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</si>
  <si>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</si>
  <si>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</si>
  <si>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</si>
  <si>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</si>
  <si>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</si>
  <si>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</si>
  <si>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</si>
  <si>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</si>
  <si>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</si>
  <si>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</si>
  <si>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</si>
  <si>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</si>
  <si>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</si>
  <si>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</si>
  <si>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</si>
  <si>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</si>
  <si>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</si>
  <si>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</si>
  <si>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</si>
  <si>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</si>
  <si>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</si>
  <si>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</si>
  <si>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</si>
  <si>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</si>
  <si>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</si>
  <si>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</si>
  <si>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</si>
  <si>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</si>
  <si>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</si>
  <si>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</si>
  <si>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</si>
  <si>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</si>
  <si>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</si>
  <si>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</si>
  <si>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</si>
  <si>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</si>
  <si>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</si>
  <si>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</si>
  <si>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</si>
  <si>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</si>
  <si>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</si>
  <si>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</si>
  <si>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</si>
  <si>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</si>
  <si>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</si>
  <si>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</si>
  <si>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</si>
  <si>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</si>
  <si>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</si>
  <si>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</si>
  <si>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</si>
  <si>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</si>
  <si>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</si>
  <si>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</si>
  <si>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</si>
  <si>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</si>
  <si>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</si>
  <si>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</si>
  <si>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</si>
  <si>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</si>
  <si>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</si>
  <si>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</si>
  <si>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</si>
  <si>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</si>
  <si>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</si>
  <si>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</si>
  <si>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</si>
  <si>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</si>
  <si>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</si>
  <si>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</si>
  <si>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</si>
  <si>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</si>
  <si>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</si>
  <si>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</si>
  <si>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</si>
  <si>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</si>
  <si>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</si>
  <si>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</si>
  <si>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</si>
  <si>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</si>
  <si>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</si>
  <si>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</si>
  <si>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</si>
  <si>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</si>
  <si>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</si>
  <si>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</si>
  <si>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</si>
  <si>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</si>
  <si>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</si>
  <si>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</si>
  <si>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</si>
  <si>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</si>
  <si>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</si>
  <si>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</si>
  <si>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</si>
  <si>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</si>
  <si>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</si>
  <si>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</si>
  <si>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</si>
  <si>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</si>
  <si>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</si>
  <si>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</si>
  <si>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</si>
  <si>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</si>
  <si>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</si>
  <si>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</si>
  <si>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</si>
  <si>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</si>
  <si>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</si>
  <si>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</si>
  <si>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</si>
  <si>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</si>
  <si>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</si>
  <si>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</si>
  <si>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</si>
  <si>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</si>
  <si>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</si>
  <si>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</si>
  <si>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</si>
  <si>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</si>
  <si>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</si>
  <si>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</si>
  <si>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</si>
  <si>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</si>
  <si>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</si>
  <si>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</si>
  <si>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</si>
  <si>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</si>
  <si>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</si>
  <si>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</si>
  <si>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</si>
  <si>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</si>
  <si>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</si>
  <si>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</si>
  <si>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</si>
  <si>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</si>
  <si>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</si>
  <si>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</si>
  <si>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</si>
  <si>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</si>
  <si>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</si>
  <si>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</si>
  <si>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</si>
  <si>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</si>
  <si>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</si>
  <si>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</si>
  <si>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</si>
  <si>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</si>
  <si>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</si>
  <si>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</si>
  <si>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</si>
  <si>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</si>
  <si>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</si>
  <si>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</si>
  <si>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</si>
  <si>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</si>
  <si>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</si>
  <si>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</si>
  <si>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</si>
  <si>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</si>
  <si>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</si>
  <si>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</si>
  <si>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</si>
  <si>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</si>
  <si>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</si>
  <si>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</si>
  <si>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</si>
  <si>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</si>
  <si>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</si>
  <si>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</si>
  <si>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</si>
  <si>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</si>
  <si>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</si>
  <si>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</si>
  <si>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</si>
  <si>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</si>
  <si>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</si>
  <si>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</si>
  <si>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</si>
  <si>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</si>
  <si>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</si>
  <si>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</si>
  <si>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</si>
  <si>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</si>
  <si>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</si>
  <si>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</si>
  <si>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</si>
  <si>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</si>
  <si>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</si>
  <si>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</si>
  <si>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</si>
  <si>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</si>
  <si>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</si>
  <si>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</si>
  <si>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</si>
  <si>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</si>
  <si>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</si>
  <si>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</si>
  <si>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</si>
  <si>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</si>
  <si>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</si>
  <si>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</si>
  <si>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</si>
  <si>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</si>
  <si>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</si>
  <si>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</si>
  <si>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</si>
  <si>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</si>
  <si>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</si>
  <si>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</si>
  <si>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</si>
  <si>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</si>
  <si>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</si>
  <si>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</si>
  <si>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</si>
  <si>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</si>
  <si>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</si>
  <si>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</si>
  <si>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</si>
  <si>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</si>
  <si>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</si>
  <si>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</si>
  <si>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</si>
  <si>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</si>
  <si>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</si>
  <si>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</si>
  <si>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</si>
  <si>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</si>
  <si>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</si>
  <si>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</si>
  <si>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</si>
  <si>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</si>
  <si>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</si>
  <si>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</si>
  <si>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</si>
  <si>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</si>
  <si>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</si>
  <si>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</si>
  <si>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</si>
  <si>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</si>
  <si>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</si>
  <si>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</si>
  <si>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</si>
  <si>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</si>
  <si>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</si>
  <si>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</si>
  <si>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</si>
  <si>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</si>
  <si>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</si>
  <si>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</si>
  <si>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</si>
  <si>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</si>
  <si>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</si>
  <si>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</si>
  <si>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</si>
  <si>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</si>
  <si>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</si>
  <si>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</si>
  <si>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</si>
  <si>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</si>
  <si>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</si>
  <si>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</si>
  <si>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</si>
  <si>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</si>
  <si>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</si>
  <si>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</si>
  <si>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</si>
  <si>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</si>
  <si>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</si>
  <si>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</si>
  <si>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</si>
  <si>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</si>
  <si>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</si>
  <si>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</si>
  <si>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</si>
  <si>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</si>
  <si>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</si>
  <si>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</si>
  <si>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</si>
  <si>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</si>
  <si>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</si>
  <si>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</si>
  <si>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</si>
  <si>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</si>
  <si>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</si>
  <si>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</si>
  <si>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</si>
  <si>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</si>
  <si>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</si>
  <si>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</si>
  <si>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</si>
  <si>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</si>
  <si>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</si>
  <si>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</si>
  <si>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</si>
  <si>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</si>
  <si>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</si>
  <si>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</si>
  <si>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</si>
  <si>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</si>
  <si>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</si>
  <si>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</si>
  <si>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</si>
  <si>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</si>
  <si>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</si>
  <si>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</si>
  <si>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</si>
  <si>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</si>
  <si>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</si>
  <si>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</si>
  <si>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</si>
  <si>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</si>
  <si>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</si>
  <si>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</si>
  <si>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</si>
  <si>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</si>
  <si>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</si>
  <si>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</si>
  <si>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</si>
  <si>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</si>
  <si>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</si>
  <si>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</si>
  <si>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</si>
  <si>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</si>
  <si>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</si>
  <si>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</si>
  <si>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</si>
  <si>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</si>
  <si>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</si>
  <si>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</si>
  <si>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</si>
  <si>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</si>
  <si>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</si>
  <si>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</si>
  <si>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</si>
  <si>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</si>
  <si>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</si>
  <si>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</si>
  <si>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</si>
  <si>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</si>
  <si>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</si>
  <si>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</si>
  <si>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</si>
  <si>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</si>
  <si>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</si>
  <si>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</si>
  <si>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</si>
  <si>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</si>
  <si>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</si>
  <si>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</si>
  <si>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</si>
  <si>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</si>
  <si>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</si>
  <si>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</si>
  <si>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</si>
  <si>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</si>
  <si>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</si>
  <si>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</si>
  <si>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</si>
  <si>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</si>
  <si>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</si>
  <si>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</si>
  <si>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</si>
  <si>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</si>
  <si>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</si>
  <si>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</si>
  <si>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</si>
  <si>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</si>
  <si>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</si>
  <si>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</si>
  <si>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</si>
  <si>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</si>
  <si>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</si>
  <si>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</si>
  <si>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</si>
  <si>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</si>
  <si>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</si>
  <si>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</si>
  <si>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</si>
  <si>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</si>
  <si>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</si>
  <si>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</si>
  <si>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</si>
  <si>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</si>
  <si>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</si>
  <si>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</si>
  <si>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</si>
  <si>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</si>
  <si>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</si>
  <si>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</si>
  <si>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</si>
  <si>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</si>
  <si>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</si>
  <si>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</si>
  <si>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</si>
  <si>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</si>
  <si>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</si>
  <si>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</si>
  <si>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</si>
  <si>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</si>
  <si>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</si>
  <si>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</si>
  <si>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</si>
  <si>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</si>
  <si>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</si>
  <si>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</si>
  <si>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</si>
  <si>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</si>
  <si>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</si>
  <si>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</si>
  <si>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</si>
  <si>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</si>
  <si>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</si>
  <si>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</si>
  <si>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</si>
  <si>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</si>
  <si>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</si>
  <si>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</si>
  <si>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</si>
  <si>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</si>
  <si>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</si>
  <si>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</si>
  <si>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</si>
  <si>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</si>
  <si>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</si>
  <si>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</si>
  <si>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</si>
  <si>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</si>
  <si>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</si>
  <si>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</si>
  <si>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</si>
  <si>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</si>
  <si>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</si>
  <si>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</si>
  <si>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</si>
  <si>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</si>
  <si>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</si>
  <si>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</si>
  <si>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</si>
  <si>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</si>
  <si>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</si>
  <si>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</si>
  <si>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</si>
  <si>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</si>
  <si>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</si>
  <si>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</si>
  <si>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</si>
  <si>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</si>
  <si>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</si>
  <si>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</si>
  <si>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</si>
  <si>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</si>
  <si>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</si>
  <si>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</si>
  <si>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</si>
  <si>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</si>
  <si>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</si>
  <si>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</si>
  <si>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</si>
  <si>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</si>
  <si>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</si>
  <si>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</si>
  <si>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</si>
  <si>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</si>
  <si>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</si>
  <si>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</si>
  <si>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</si>
  <si>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</si>
  <si>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</si>
  <si>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</si>
  <si>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</si>
  <si>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</si>
  <si>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</si>
  <si>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</si>
  <si>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</si>
  <si>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</si>
  <si>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</si>
  <si>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</si>
  <si>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</si>
  <si>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</si>
  <si>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</si>
  <si>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</si>
  <si>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</si>
  <si>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</si>
  <si>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</si>
  <si>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</si>
  <si>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</si>
  <si>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</si>
  <si>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</si>
  <si>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</si>
  <si>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</si>
  <si>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</si>
  <si>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</si>
  <si>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</si>
  <si>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</si>
  <si>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</si>
  <si>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</si>
  <si>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</si>
  <si>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</si>
  <si>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</si>
  <si>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</si>
  <si>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</si>
  <si>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</si>
  <si>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</si>
  <si>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</si>
  <si>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</si>
  <si>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</si>
  <si>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</si>
  <si>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</si>
  <si>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</si>
  <si>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</si>
  <si>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</si>
  <si>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</si>
  <si>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</si>
  <si>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</si>
  <si>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</si>
  <si>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</si>
  <si>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</si>
  <si>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</si>
  <si>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</si>
  <si>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</si>
  <si>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</si>
  <si>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</si>
  <si>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</si>
  <si>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</si>
  <si>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</si>
  <si>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</si>
  <si>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</si>
  <si>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</si>
  <si>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</si>
  <si>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</si>
  <si>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</si>
  <si>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</si>
  <si>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</si>
  <si>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</si>
  <si>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</si>
  <si>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</si>
  <si>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</si>
  <si>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</si>
  <si>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</si>
  <si>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</si>
  <si>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</si>
  <si>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</si>
  <si>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</si>
  <si>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</si>
  <si>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</si>
  <si>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</si>
  <si>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</si>
  <si>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</si>
  <si>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</si>
  <si>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</si>
  <si>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</si>
  <si>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</si>
  <si>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</si>
  <si>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</si>
  <si>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</si>
  <si>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</si>
  <si>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</si>
  <si>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</si>
  <si>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</si>
  <si>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</si>
  <si>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</si>
  <si>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</si>
  <si>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</si>
  <si>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</si>
  <si>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</si>
  <si>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</si>
  <si>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</si>
  <si>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</si>
  <si>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</si>
  <si>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</si>
  <si>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</si>
  <si>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</si>
  <si>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</si>
  <si>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</si>
  <si>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</si>
  <si>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</si>
  <si>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</si>
  <si>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</si>
  <si>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</si>
  <si>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</si>
  <si>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</si>
  <si>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</si>
  <si>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</si>
  <si>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</si>
  <si>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</si>
  <si>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</si>
  <si>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</si>
  <si>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</si>
  <si>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</si>
  <si>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</si>
  <si>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</si>
  <si>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</si>
  <si>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</si>
  <si>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</si>
  <si>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</si>
  <si>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</si>
  <si>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</si>
  <si>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</si>
  <si>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</si>
  <si>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</si>
  <si>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</si>
  <si>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</si>
  <si>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</si>
  <si>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</si>
  <si>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</si>
  <si>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</si>
  <si>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</si>
  <si>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</si>
  <si>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</si>
  <si>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</si>
  <si>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</si>
  <si>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</si>
  <si>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</si>
  <si>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</si>
  <si>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</si>
  <si>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</si>
  <si>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</si>
  <si>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</si>
  <si>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</si>
  <si>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</si>
  <si>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</si>
  <si>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</si>
  <si>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</si>
  <si>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</si>
  <si>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</si>
  <si>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</si>
  <si>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</si>
  <si>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</si>
  <si>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</si>
  <si>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</si>
  <si>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</si>
  <si>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</si>
  <si>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</si>
  <si>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</si>
  <si>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</si>
  <si>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</si>
  <si>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</si>
  <si>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</si>
  <si>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</si>
  <si>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</si>
  <si>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</si>
  <si>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</si>
  <si>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</si>
  <si>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</si>
  <si>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</si>
  <si>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</si>
  <si>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</si>
  <si>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</si>
  <si>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</si>
  <si>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</si>
  <si>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</si>
  <si>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</si>
  <si>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</si>
  <si>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</si>
  <si>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</si>
  <si>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</si>
  <si>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</si>
  <si>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</si>
  <si>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</si>
  <si>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</si>
  <si>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</si>
  <si>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</si>
  <si>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</si>
  <si>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</si>
  <si>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</si>
  <si>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</si>
  <si>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</si>
  <si>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</si>
  <si>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</si>
  <si>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</si>
  <si>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</si>
  <si>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</si>
  <si>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</si>
  <si>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</si>
  <si>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</si>
  <si>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</si>
  <si>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</si>
  <si>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</si>
  <si>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</si>
  <si>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</si>
  <si>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</si>
  <si>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</si>
  <si>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</si>
  <si>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</si>
  <si>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</si>
  <si>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</si>
  <si>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</si>
  <si>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</si>
  <si>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</si>
  <si>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</si>
  <si>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</si>
  <si>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</si>
  <si>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</si>
  <si>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</si>
  <si>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</si>
  <si>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</si>
  <si>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</si>
  <si>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</si>
  <si>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</si>
  <si>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</si>
  <si>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</si>
  <si>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</si>
  <si>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</si>
  <si>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</si>
  <si>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</si>
  <si>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</si>
  <si>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</si>
  <si>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</si>
  <si>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</si>
  <si>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</si>
  <si>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</si>
  <si>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</si>
  <si>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</si>
  <si>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</si>
  <si>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</si>
  <si>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</si>
  <si>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</si>
  <si>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</si>
  <si>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</si>
  <si>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</si>
  <si>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</si>
  <si>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</si>
  <si>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</si>
  <si>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</si>
  <si>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</si>
  <si>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</si>
  <si>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</si>
  <si>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</si>
  <si>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</si>
  <si>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</si>
  <si>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</si>
  <si>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</si>
  <si>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</si>
  <si>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</si>
  <si>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</si>
  <si>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</si>
  <si>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</si>
  <si>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</si>
  <si>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</si>
  <si>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</si>
  <si>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</si>
  <si>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</si>
  <si>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</si>
  <si>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</si>
  <si>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</si>
  <si>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</si>
  <si>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</si>
  <si>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</si>
  <si>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</si>
  <si>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</si>
  <si>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</si>
  <si>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</si>
  <si>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</si>
  <si>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</si>
  <si>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</si>
  <si>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</si>
  <si>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</si>
  <si>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</si>
  <si>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</si>
  <si>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</si>
  <si>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</si>
  <si>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</si>
  <si>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</si>
  <si>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</si>
  <si>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</si>
  <si>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</si>
  <si>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</si>
  <si>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</si>
  <si>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</si>
  <si>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</si>
  <si>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</si>
  <si>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</si>
  <si>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</si>
  <si>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</si>
  <si>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</si>
  <si>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</si>
  <si>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</si>
  <si>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</si>
  <si>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</si>
  <si>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</si>
  <si>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</si>
  <si>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</si>
  <si>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</si>
  <si>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</si>
  <si>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</si>
  <si>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</si>
  <si>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</si>
  <si>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</si>
  <si>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</si>
  <si>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</si>
  <si>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</si>
  <si>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</si>
  <si>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</si>
  <si>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</si>
  <si>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</si>
  <si>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</si>
  <si>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</si>
  <si>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</si>
  <si>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</si>
  <si>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</si>
  <si>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</si>
  <si>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</si>
  <si>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</si>
  <si>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</si>
  <si>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</si>
  <si>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</si>
  <si>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</si>
  <si>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</si>
  <si>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</si>
  <si>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</si>
  <si>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</si>
  <si>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</si>
  <si>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</si>
  <si>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</si>
  <si>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</si>
  <si>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</si>
  <si>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</si>
  <si>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</si>
  <si>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</si>
  <si>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</si>
  <si>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</si>
  <si>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</si>
  <si>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</si>
  <si>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</si>
  <si>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</si>
  <si>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</si>
  <si>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</si>
  <si>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</si>
  <si>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</si>
  <si>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</si>
  <si>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</si>
  <si>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</si>
  <si>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</si>
  <si>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</si>
  <si>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</si>
  <si>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</si>
  <si>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</si>
  <si>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</si>
  <si>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</si>
  <si>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</si>
  <si>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</si>
  <si>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</si>
  <si>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</si>
  <si>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</si>
  <si>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</si>
  <si>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</si>
  <si>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</si>
  <si>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</si>
  <si>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</si>
  <si>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</si>
  <si>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</si>
  <si>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</si>
  <si>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</si>
  <si>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</si>
  <si>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</si>
  <si>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</si>
  <si>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</si>
  <si>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</si>
  <si>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</si>
  <si>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</si>
  <si>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</si>
  <si>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</si>
  <si>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</si>
  <si>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</si>
  <si>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</si>
  <si>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</si>
  <si>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</si>
  <si>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</si>
  <si>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</si>
  <si>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</si>
  <si>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</si>
  <si>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</si>
  <si>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</si>
  <si>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</si>
  <si>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</si>
  <si>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</si>
  <si>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</si>
  <si>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</si>
  <si>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</si>
  <si>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</si>
  <si>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</si>
  <si>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</si>
  <si>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</si>
  <si>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</si>
  <si>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</si>
  <si>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</si>
  <si>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</si>
  <si>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</si>
  <si>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</si>
  <si>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</si>
  <si>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</si>
  <si>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</si>
  <si>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</si>
  <si>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</si>
  <si>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</si>
  <si>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</si>
  <si>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</si>
  <si>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</si>
  <si>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</si>
  <si>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</si>
  <si>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</si>
  <si>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</si>
  <si>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</si>
  <si>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</si>
  <si>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</si>
  <si>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</si>
  <si>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</si>
  <si>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</si>
  <si>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</si>
  <si>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</si>
  <si>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</si>
  <si>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</si>
  <si>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</si>
  <si>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</si>
  <si>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</si>
  <si>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</si>
  <si>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</si>
  <si>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</si>
  <si>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</si>
  <si>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</si>
  <si>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</si>
  <si>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</si>
  <si>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</si>
  <si>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</si>
  <si>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</si>
  <si>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</si>
  <si>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</si>
  <si>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</si>
  <si>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</si>
  <si>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</si>
  <si>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</si>
  <si>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</si>
  <si>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</si>
  <si>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</si>
  <si>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</si>
  <si>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</si>
  <si>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</si>
  <si>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</si>
  <si>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</si>
  <si>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</si>
  <si>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</si>
  <si>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</si>
  <si>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</si>
  <si>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</si>
  <si>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</si>
  <si>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</si>
  <si>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</si>
  <si>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</si>
  <si>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</si>
  <si>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</si>
  <si>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</si>
  <si>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</si>
  <si>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</si>
  <si>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</si>
  <si>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</si>
  <si>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</si>
  <si>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</si>
  <si>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</si>
  <si>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</si>
  <si>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</si>
  <si>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</si>
  <si>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</si>
  <si>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</si>
  <si>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</si>
  <si>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</si>
  <si>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</si>
  <si>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</si>
  <si>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</si>
  <si>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</si>
  <si>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</si>
  <si>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</si>
  <si>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</si>
  <si>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</si>
  <si>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</si>
  <si>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</si>
  <si>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</si>
  <si>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</si>
  <si>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</si>
  <si>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</si>
  <si>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</si>
  <si>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</si>
  <si>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</si>
  <si>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</si>
  <si>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</si>
  <si>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</si>
  <si>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</si>
  <si>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</si>
  <si>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</si>
  <si>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</si>
  <si>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</si>
  <si>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</si>
  <si>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</si>
  <si>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</si>
  <si>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</si>
  <si>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</si>
  <si>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</si>
  <si>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</si>
  <si>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</si>
  <si>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</si>
  <si>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</si>
  <si>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</si>
  <si>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</si>
  <si>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</si>
  <si>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</si>
  <si>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</si>
  <si>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</si>
  <si>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</si>
  <si>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</si>
  <si>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</si>
  <si>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</si>
  <si>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</si>
  <si>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</si>
  <si>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</si>
  <si>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</si>
  <si>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</si>
  <si>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</si>
  <si>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</si>
  <si>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</si>
  <si>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</si>
  <si>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</si>
  <si>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</si>
  <si>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</si>
  <si>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</si>
  <si>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</si>
  <si>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</si>
  <si>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</si>
  <si>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</si>
  <si>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</si>
  <si>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</si>
  <si>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</si>
  <si>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</si>
  <si>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</si>
  <si>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</si>
  <si>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</si>
  <si>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</si>
  <si>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</si>
  <si>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</si>
  <si>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</si>
  <si>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</si>
  <si>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</si>
  <si>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</si>
  <si>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</si>
  <si>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</si>
  <si>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</si>
  <si>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</si>
  <si>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</si>
  <si>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</si>
  <si>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</si>
  <si>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</si>
  <si>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</si>
  <si>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</si>
  <si>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</si>
  <si>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</si>
  <si>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</si>
  <si>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</si>
  <si>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</si>
  <si>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</si>
  <si>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</si>
  <si>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</si>
  <si>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</si>
  <si>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</si>
  <si>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</si>
  <si>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</si>
  <si>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</si>
  <si>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</si>
  <si>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</si>
  <si>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</si>
  <si>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</si>
  <si>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</si>
  <si>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</si>
  <si>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</si>
  <si>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</si>
  <si>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</si>
  <si>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</si>
  <si>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</si>
  <si>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</si>
  <si>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</si>
  <si>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</si>
  <si>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</si>
  <si>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</si>
  <si>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</si>
  <si>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</si>
  <si>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</si>
  <si>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</si>
  <si>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</si>
  <si>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</si>
  <si>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</si>
  <si>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</si>
  <si>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</si>
  <si>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</si>
  <si>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</si>
  <si>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</si>
  <si>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</si>
  <si>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</si>
  <si>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</si>
  <si>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</si>
  <si>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</si>
  <si>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</si>
  <si>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</si>
  <si>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</si>
  <si>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</si>
  <si>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</si>
  <si>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</si>
  <si>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</si>
  <si>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</si>
  <si>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</si>
  <si>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</si>
  <si>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</si>
  <si>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</si>
  <si>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</si>
  <si>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</si>
  <si>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</si>
  <si>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</si>
  <si>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</si>
  <si>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</si>
  <si>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</si>
  <si>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</si>
  <si>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</si>
  <si>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</si>
  <si>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</si>
  <si>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</si>
  <si>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</si>
  <si>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</si>
  <si>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</si>
  <si>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</si>
  <si>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</si>
  <si>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</si>
  <si>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</si>
  <si>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</si>
  <si>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</si>
  <si>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</si>
  <si>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</si>
  <si>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</si>
  <si>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</si>
  <si>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</si>
  <si>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</si>
  <si>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</si>
  <si>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</si>
  <si>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</si>
  <si>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</si>
  <si>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</si>
  <si>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</si>
  <si>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</si>
  <si>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</si>
  <si>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</si>
  <si>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</si>
  <si>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</si>
  <si>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</si>
  <si>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</si>
  <si>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</si>
  <si>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</si>
  <si>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</si>
  <si>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</si>
  <si>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</si>
  <si>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</si>
  <si>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</si>
  <si>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</si>
  <si>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</si>
  <si>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</si>
  <si>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</si>
  <si>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</si>
  <si>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</si>
  <si>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</si>
  <si>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</si>
  <si>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</si>
  <si>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</si>
  <si>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</si>
  <si>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</si>
  <si>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</si>
  <si>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</si>
  <si>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</si>
  <si>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</si>
  <si>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</si>
  <si>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</si>
  <si>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</si>
  <si>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</si>
  <si>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</si>
  <si>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</si>
  <si>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</si>
  <si>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</si>
  <si>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</si>
  <si>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</si>
  <si>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</si>
  <si>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</si>
  <si>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</si>
  <si>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</si>
  <si>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</si>
  <si>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</si>
  <si>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</si>
  <si>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</si>
  <si>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</si>
  <si>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</si>
  <si>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</si>
  <si>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</si>
  <si>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</si>
  <si>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</si>
  <si>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</si>
  <si>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</si>
  <si>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</si>
  <si>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</si>
  <si>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</si>
  <si>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</si>
  <si>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</si>
  <si>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</si>
  <si>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</si>
  <si>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</si>
  <si>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</si>
  <si>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</si>
  <si>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</si>
  <si>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</si>
  <si>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</si>
  <si>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</si>
  <si>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</si>
  <si>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</si>
  <si>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</si>
  <si>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</si>
  <si>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</si>
  <si>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</si>
  <si>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</si>
  <si>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</si>
  <si>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</si>
  <si>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</si>
  <si>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</si>
  <si>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</si>
  <si>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</si>
  <si>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</si>
  <si>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</si>
  <si>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</si>
  <si>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</si>
  <si>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</si>
  <si>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</si>
  <si>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</si>
  <si>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</si>
  <si>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</si>
  <si>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</si>
  <si>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</si>
  <si>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</si>
  <si>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</si>
  <si>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</si>
  <si>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</si>
  <si>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</si>
  <si>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</si>
  <si>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</si>
  <si>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</si>
  <si>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</si>
  <si>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</si>
  <si>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</si>
  <si>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</si>
  <si>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</si>
  <si>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</si>
  <si>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</si>
  <si>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</si>
  <si>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</si>
  <si>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</si>
  <si>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</si>
  <si>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</si>
  <si>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</si>
  <si>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</si>
  <si>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</si>
  <si>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</si>
  <si>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</si>
  <si>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</si>
  <si>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</si>
  <si>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</si>
  <si>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</si>
  <si>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</si>
  <si>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</si>
  <si>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</si>
  <si>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</si>
  <si>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</si>
  <si>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</si>
  <si>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</si>
  <si>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</si>
  <si>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</si>
  <si>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</si>
  <si>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</si>
  <si>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</si>
  <si>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</si>
  <si>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</si>
  <si>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</si>
  <si>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</si>
  <si>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</si>
  <si>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</si>
  <si>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</si>
  <si>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</si>
  <si>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</si>
  <si>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</si>
  <si>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</si>
  <si>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</si>
  <si>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</si>
  <si>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</si>
  <si>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</si>
  <si>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</si>
  <si>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</si>
  <si>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</si>
  <si>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</si>
  <si>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</si>
  <si>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</si>
  <si>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</si>
  <si>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</si>
  <si>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</si>
  <si>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</si>
  <si>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</si>
  <si>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</si>
  <si>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</si>
  <si>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</si>
  <si>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</si>
  <si>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</si>
  <si>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</si>
  <si>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</si>
  <si>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</si>
  <si>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</si>
  <si>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</si>
  <si>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</si>
  <si>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</si>
  <si>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</si>
  <si>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</si>
  <si>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</si>
  <si>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</si>
  <si>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</si>
  <si>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</si>
  <si>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</si>
  <si>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</si>
  <si>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</si>
  <si>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</si>
  <si>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</si>
  <si>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</si>
  <si>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</si>
  <si>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</si>
  <si>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</si>
  <si>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</si>
  <si>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</si>
  <si>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</si>
  <si>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</si>
  <si>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</si>
  <si>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</si>
  <si>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</si>
  <si>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</si>
  <si>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</si>
  <si>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</si>
  <si>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</si>
  <si>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</si>
  <si>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</si>
  <si>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</si>
  <si>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</si>
  <si>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</si>
  <si>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</si>
  <si>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</si>
  <si>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</si>
  <si>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</si>
  <si>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</si>
  <si>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</si>
  <si>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</si>
  <si>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</si>
  <si>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</si>
  <si>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</si>
  <si>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</si>
  <si>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</si>
  <si>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</si>
  <si>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</si>
  <si>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</si>
  <si>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</si>
  <si>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</si>
  <si>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</si>
  <si>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</si>
  <si>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</si>
  <si>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</si>
  <si>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</si>
  <si>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</si>
  <si>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</si>
  <si>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</si>
  <si>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</si>
  <si>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</si>
  <si>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</si>
  <si>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</si>
  <si>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</si>
  <si>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</si>
  <si>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</si>
  <si>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</si>
  <si>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</si>
  <si>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</si>
  <si>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</si>
  <si>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</si>
  <si>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</si>
  <si>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</si>
  <si>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</si>
  <si>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</si>
  <si>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</si>
  <si>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</si>
  <si>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</si>
  <si>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</si>
  <si>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</si>
  <si>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</si>
  <si>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</si>
  <si>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</si>
  <si>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</si>
  <si>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</si>
  <si>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</si>
  <si>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</si>
  <si>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</si>
  <si>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</si>
  <si>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</si>
  <si>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</si>
  <si>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</si>
  <si>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</si>
  <si>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</si>
  <si>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</si>
  <si>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</si>
  <si>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</si>
  <si>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</si>
  <si>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</si>
  <si>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</si>
  <si>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</si>
  <si>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</si>
  <si>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</si>
  <si>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</si>
  <si>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</si>
  <si>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</si>
  <si>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</si>
  <si>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</si>
  <si>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</si>
  <si>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</si>
  <si>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</si>
  <si>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</si>
  <si>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</si>
  <si>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</si>
  <si>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</si>
  <si>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</si>
  <si>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</si>
  <si>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</si>
  <si>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</si>
  <si>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</si>
  <si>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</si>
  <si>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</si>
  <si>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</si>
  <si>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</si>
  <si>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</si>
  <si>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</si>
  <si>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</si>
  <si>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</si>
  <si>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</si>
  <si>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</si>
  <si>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</si>
  <si>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</si>
  <si>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</si>
  <si>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</si>
  <si>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</si>
  <si>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</si>
  <si>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</si>
  <si>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</si>
  <si>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</si>
  <si>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</si>
  <si>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</si>
  <si>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</si>
  <si>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</si>
  <si>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</si>
  <si>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</si>
  <si>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</si>
  <si>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</si>
  <si>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</si>
  <si>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</si>
  <si>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</si>
  <si>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</si>
  <si>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</si>
  <si>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</si>
  <si>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</si>
  <si>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</si>
  <si>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</si>
  <si>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</si>
  <si>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</si>
  <si>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</si>
  <si>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</si>
  <si>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</si>
  <si>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</si>
  <si>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</si>
  <si>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</si>
  <si>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</si>
  <si>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</si>
  <si>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</si>
  <si>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</si>
  <si>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</si>
  <si>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</si>
  <si>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</si>
  <si>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</si>
  <si>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</si>
  <si>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</si>
  <si>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</si>
  <si>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</si>
  <si>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</si>
  <si>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</si>
  <si>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</si>
  <si>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</si>
  <si>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</si>
  <si>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</si>
  <si>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</si>
  <si>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</si>
  <si>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</si>
  <si>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</si>
  <si>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</si>
  <si>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</si>
  <si>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</si>
  <si>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</si>
  <si>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</si>
  <si>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</si>
  <si>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</si>
  <si>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</si>
  <si>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</si>
  <si>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</si>
  <si>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</si>
  <si>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</si>
  <si>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</si>
  <si>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</si>
  <si>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</si>
  <si>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</si>
  <si>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</si>
  <si>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</si>
  <si>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</si>
  <si>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</si>
  <si>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</si>
  <si>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</si>
  <si>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</si>
  <si>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</si>
  <si>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</si>
  <si>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</si>
  <si>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</si>
  <si>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</si>
  <si>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</si>
  <si>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</si>
  <si>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</si>
  <si>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</si>
  <si>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</si>
  <si>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</si>
  <si>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</si>
  <si>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</si>
  <si>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</si>
  <si>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</si>
  <si>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</si>
  <si>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</si>
  <si>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</si>
  <si>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</si>
  <si>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</si>
  <si>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</si>
  <si>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</si>
  <si>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</si>
  <si>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</si>
  <si>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</si>
  <si>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</si>
  <si>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</si>
  <si>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</si>
  <si>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</si>
  <si>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</si>
  <si>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</si>
  <si>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</si>
  <si>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</si>
  <si>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</si>
  <si>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</si>
  <si>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</si>
  <si>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</si>
  <si>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</si>
  <si>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</si>
  <si>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</si>
  <si>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</si>
  <si>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</si>
  <si>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</si>
  <si>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</si>
  <si>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</si>
  <si>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</si>
  <si>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</si>
  <si>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</si>
  <si>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</si>
  <si>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</si>
  <si>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</si>
  <si>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</si>
  <si>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</si>
  <si>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</si>
  <si>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</si>
  <si>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</si>
  <si>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</si>
  <si>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</si>
  <si>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</si>
  <si>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</si>
  <si>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</si>
  <si>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</si>
  <si>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</si>
  <si>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</si>
  <si>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</si>
  <si>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</si>
  <si>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</si>
  <si>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</si>
  <si>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</si>
  <si>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</si>
  <si>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</si>
  <si>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</si>
  <si>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</si>
  <si>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</si>
  <si>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</si>
  <si>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</si>
  <si>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</si>
  <si>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</si>
  <si>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</si>
  <si>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</si>
  <si>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</si>
  <si>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</si>
  <si>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</si>
  <si>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</si>
  <si>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</si>
  <si>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</si>
  <si>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</si>
  <si>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</si>
  <si>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</si>
  <si>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</si>
  <si>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</si>
  <si>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</si>
  <si>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</si>
  <si>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</si>
  <si>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</si>
  <si>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</si>
  <si>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</si>
  <si>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</si>
  <si>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</si>
  <si>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</si>
  <si>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</si>
  <si>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</si>
  <si>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</si>
  <si>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</si>
  <si>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</si>
  <si>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</si>
  <si>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</si>
  <si>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</si>
  <si>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</si>
  <si>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</si>
  <si>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</si>
  <si>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</si>
  <si>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</si>
  <si>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</si>
  <si>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</si>
  <si>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</si>
  <si>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</si>
  <si>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</si>
  <si>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</si>
  <si>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</si>
  <si>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</si>
  <si>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</si>
  <si>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</si>
  <si>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</si>
  <si>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</si>
  <si>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</si>
  <si>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</si>
  <si>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</si>
  <si>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</si>
  <si>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</si>
  <si>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</si>
  <si>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</si>
  <si>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</si>
  <si>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</si>
  <si>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</si>
  <si>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</si>
  <si>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</si>
  <si>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</si>
  <si>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</si>
  <si>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</si>
  <si>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</si>
  <si>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</si>
  <si>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</si>
  <si>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</si>
  <si>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</si>
  <si>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</si>
  <si>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</si>
  <si>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</si>
  <si>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</si>
  <si>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</si>
  <si>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</si>
  <si>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</si>
  <si>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</si>
  <si>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</si>
  <si>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</si>
  <si>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</si>
  <si>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</si>
  <si>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</si>
  <si>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</si>
  <si>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</si>
  <si>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</si>
  <si>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</si>
  <si>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</si>
  <si>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</si>
  <si>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</si>
  <si>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</si>
  <si>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</si>
  <si>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</si>
  <si>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</si>
  <si>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</si>
  <si>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</si>
  <si>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</si>
  <si>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</si>
  <si>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</si>
  <si>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</si>
  <si>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</si>
  <si>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</si>
  <si>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</si>
  <si>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</si>
  <si>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</si>
  <si>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</si>
  <si>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</si>
  <si>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</si>
  <si>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</si>
  <si>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</si>
  <si>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</si>
  <si>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</si>
  <si>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</si>
  <si>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</si>
  <si>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</si>
  <si>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</si>
  <si>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</si>
  <si>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</si>
  <si>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</si>
  <si>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</si>
  <si>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</si>
  <si>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</si>
  <si>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</si>
  <si>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</si>
  <si>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</si>
  <si>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</si>
  <si>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</si>
  <si>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</si>
  <si>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</si>
  <si>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</si>
  <si>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</si>
  <si>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</si>
  <si>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</si>
  <si>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</si>
  <si>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</si>
  <si>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</si>
  <si>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</si>
  <si>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</si>
  <si>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</si>
  <si>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</si>
  <si>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</si>
  <si>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</si>
  <si>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</si>
  <si>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</si>
  <si>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</si>
  <si>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</si>
  <si>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</si>
  <si>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</si>
  <si>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</si>
  <si>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</si>
  <si>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</si>
  <si>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</si>
  <si>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</si>
  <si>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</si>
  <si>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</si>
  <si>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</si>
  <si>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</si>
  <si>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</si>
  <si>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</si>
  <si>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</si>
  <si>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</si>
  <si>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</si>
  <si>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</si>
  <si>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</si>
  <si>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</si>
  <si>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</si>
  <si>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</si>
  <si>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</si>
  <si>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</si>
  <si>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</si>
  <si>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</si>
  <si>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</si>
  <si>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</si>
  <si>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</si>
  <si>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</si>
  <si>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</si>
  <si>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</si>
  <si>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</si>
  <si>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</si>
  <si>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</si>
  <si>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</si>
  <si>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</si>
  <si>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</si>
  <si>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</si>
  <si>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</si>
  <si>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</si>
  <si>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</si>
  <si>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</si>
  <si>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</si>
  <si>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</si>
  <si>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</si>
  <si>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</si>
  <si>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</si>
  <si>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</si>
  <si>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</si>
  <si>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</si>
  <si>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</si>
  <si>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</si>
  <si>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</si>
  <si>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</si>
  <si>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</si>
  <si>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</si>
  <si>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</si>
  <si>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</si>
  <si>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</si>
  <si>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</si>
  <si>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</si>
  <si>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</si>
  <si>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</si>
  <si>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</si>
  <si>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</si>
  <si>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</si>
  <si>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</si>
  <si>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</si>
  <si>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</si>
  <si>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</si>
  <si>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</si>
  <si>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</si>
  <si>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</si>
  <si>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</si>
  <si>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</si>
  <si>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</si>
  <si>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</si>
  <si>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</si>
  <si>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</si>
  <si>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</si>
  <si>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</si>
  <si>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</si>
  <si>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</si>
  <si>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</si>
  <si>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</si>
  <si>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</si>
  <si>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</si>
  <si>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</si>
  <si>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</si>
  <si>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</si>
  <si>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</si>
  <si>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</si>
  <si>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</si>
  <si>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</si>
  <si>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</si>
  <si>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</si>
  <si>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</si>
  <si>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</si>
  <si>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</si>
  <si>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</si>
  <si>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</si>
  <si>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</si>
  <si>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</si>
  <si>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</si>
  <si>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</si>
  <si>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</si>
  <si>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</si>
  <si>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</si>
  <si>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</si>
  <si>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</si>
  <si>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</si>
  <si>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</si>
  <si>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</si>
  <si>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</si>
  <si>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</si>
  <si>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</si>
  <si>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</si>
  <si>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</si>
  <si>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</si>
  <si>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</si>
  <si>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</si>
  <si>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</si>
  <si>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</si>
  <si>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</si>
  <si>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</si>
  <si>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</si>
  <si>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</si>
  <si>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</si>
  <si>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</si>
  <si>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</si>
  <si>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</si>
  <si>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</si>
  <si>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</si>
  <si>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</si>
  <si>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</si>
  <si>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</si>
  <si>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</si>
  <si>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</si>
  <si>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</si>
  <si>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</si>
  <si>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</si>
  <si>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</si>
  <si>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</si>
  <si>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</si>
  <si>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</si>
  <si>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</si>
  <si>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</si>
  <si>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</si>
  <si>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</si>
  <si>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</si>
  <si>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</si>
  <si>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</si>
  <si>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</si>
  <si>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</si>
  <si>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</si>
  <si>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</si>
  <si>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</si>
  <si>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</si>
  <si>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</si>
  <si>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</si>
  <si>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</si>
  <si>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</si>
  <si>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</si>
  <si>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</si>
  <si>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</si>
  <si>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</si>
  <si>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</si>
  <si>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</si>
  <si>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</si>
  <si>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</si>
  <si>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</si>
  <si>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</si>
  <si>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</si>
  <si>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</si>
  <si>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</si>
  <si>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</si>
  <si>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</si>
  <si>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</si>
  <si>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</si>
  <si>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</si>
  <si>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</si>
  <si>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</si>
  <si>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</si>
  <si>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</si>
  <si>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</si>
  <si>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</si>
  <si>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</si>
  <si>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</si>
  <si>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</si>
  <si>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</si>
  <si>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</si>
  <si>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</si>
  <si>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</si>
  <si>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</si>
  <si>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</si>
  <si>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</si>
  <si>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</si>
  <si>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</si>
  <si>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</si>
  <si>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</si>
  <si>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</si>
  <si>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</si>
  <si>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</si>
  <si>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</si>
  <si>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</si>
  <si>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</si>
  <si>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</si>
  <si>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</si>
  <si>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</si>
  <si>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</si>
  <si>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</si>
  <si>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</si>
  <si>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</si>
  <si>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</si>
  <si>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</si>
  <si>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</si>
  <si>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</si>
  <si>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</si>
  <si>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</si>
  <si>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</si>
  <si>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</si>
  <si>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</si>
  <si>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</si>
  <si>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</si>
  <si>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</si>
  <si>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</si>
  <si>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</si>
  <si>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</si>
  <si>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</si>
  <si>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</si>
  <si>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</si>
  <si>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</si>
  <si>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</si>
  <si>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</si>
  <si>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</si>
  <si>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</si>
  <si>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</si>
  <si>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</si>
  <si>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</si>
  <si>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</si>
  <si>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</si>
  <si>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</si>
  <si>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</si>
  <si>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</si>
  <si>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</si>
  <si>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</si>
  <si>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</si>
  <si>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</si>
  <si>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</si>
  <si>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</si>
  <si>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</si>
  <si>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</si>
  <si>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</si>
  <si>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</si>
  <si>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</si>
  <si>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</si>
  <si>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</si>
  <si>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</si>
  <si>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</si>
  <si>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</si>
  <si>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</si>
  <si>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</si>
  <si>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</si>
  <si>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</si>
  <si>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</si>
  <si>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</si>
  <si>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</si>
  <si>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</si>
  <si>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</si>
  <si>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</si>
  <si>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</si>
  <si>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</si>
  <si>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</si>
  <si>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</si>
  <si>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</si>
  <si>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</si>
  <si>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</si>
  <si>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</si>
  <si>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</si>
  <si>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</si>
  <si>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</si>
  <si>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</si>
  <si>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</si>
  <si>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</si>
  <si>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</si>
  <si>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</si>
  <si>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</si>
  <si>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</si>
  <si>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</si>
  <si>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</si>
  <si>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</si>
  <si>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</si>
  <si>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</si>
  <si>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</si>
  <si>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</si>
  <si>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</si>
  <si>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</si>
  <si>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</si>
  <si>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</si>
  <si>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</si>
  <si>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</si>
  <si>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</si>
  <si>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</si>
  <si>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</si>
  <si>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</si>
  <si>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</si>
  <si>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</si>
  <si>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</si>
  <si>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</si>
  <si>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</si>
  <si>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</si>
  <si>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</si>
  <si>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</si>
  <si>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</si>
  <si>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</si>
  <si>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</si>
  <si>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</si>
  <si>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</si>
  <si>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</si>
  <si>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</si>
  <si>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</si>
  <si>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</si>
  <si>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</si>
  <si>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</si>
  <si>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</si>
  <si>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</si>
  <si>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</si>
  <si>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</si>
  <si>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</si>
  <si>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</si>
  <si>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</si>
  <si>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</si>
  <si>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</si>
  <si>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</si>
  <si>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</si>
  <si>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</si>
  <si>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</si>
  <si>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</si>
  <si>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</si>
  <si>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</si>
  <si>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</si>
  <si>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</si>
  <si>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</si>
  <si>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</si>
  <si>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</si>
  <si>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</si>
  <si>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</si>
  <si>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</si>
  <si>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</si>
  <si>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</si>
  <si>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</si>
  <si>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</si>
  <si>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</si>
  <si>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</si>
  <si>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</si>
  <si>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</si>
  <si>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</si>
  <si>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</si>
  <si>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</si>
  <si>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</si>
  <si>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</si>
  <si>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</si>
  <si>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</si>
  <si>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</si>
  <si>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</si>
  <si>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</si>
  <si>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</si>
  <si>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</si>
  <si>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</si>
  <si>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</si>
  <si>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</si>
  <si>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</si>
  <si>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</si>
  <si>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</si>
  <si>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</si>
  <si>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</si>
  <si>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</si>
  <si>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</si>
  <si>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</si>
  <si>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</si>
  <si>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</si>
  <si>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</si>
  <si>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</si>
  <si>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</si>
  <si>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</si>
  <si>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</si>
  <si>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</si>
  <si>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</si>
  <si>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</si>
  <si>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</si>
  <si>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</si>
  <si>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</si>
  <si>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</si>
  <si>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</si>
  <si>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</si>
  <si>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</si>
  <si>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</si>
  <si>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</si>
  <si>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</si>
  <si>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</si>
  <si>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</si>
  <si>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</si>
  <si>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</si>
  <si>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</si>
  <si>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</si>
  <si>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</si>
  <si>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</si>
  <si>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</si>
  <si>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</si>
  <si>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</si>
  <si>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</si>
  <si>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</si>
  <si>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</si>
  <si>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</si>
  <si>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</si>
  <si>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</si>
  <si>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</si>
  <si>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</si>
  <si>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</si>
  <si>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</si>
  <si>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</si>
  <si>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</si>
  <si>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</si>
  <si>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</si>
  <si>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</si>
  <si>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</si>
  <si>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</si>
  <si>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</si>
  <si>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</si>
  <si>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</si>
  <si>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</si>
  <si>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</si>
  <si>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</si>
  <si>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</si>
  <si>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</si>
  <si>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</si>
  <si>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</si>
  <si>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</si>
  <si>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</si>
  <si>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</si>
  <si>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</si>
  <si>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</si>
  <si>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</si>
  <si>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</si>
  <si>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</si>
  <si>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</si>
  <si>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</si>
  <si>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</si>
  <si>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</si>
  <si>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</si>
  <si>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</si>
  <si>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</si>
  <si>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</si>
  <si>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</si>
  <si>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</si>
  <si>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</si>
  <si>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</si>
  <si>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</si>
  <si>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</si>
  <si>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</si>
  <si>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</si>
  <si>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</si>
  <si>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</si>
  <si>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</si>
  <si>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</si>
  <si>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</si>
  <si>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</si>
  <si>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</si>
  <si>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</si>
  <si>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</si>
  <si>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</si>
  <si>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</si>
  <si>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</si>
  <si>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</si>
  <si>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</si>
  <si>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</si>
  <si>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</si>
  <si>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</si>
  <si>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</si>
  <si>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</si>
  <si>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</si>
  <si>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</si>
  <si>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</si>
  <si>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</si>
  <si>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</si>
  <si>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</si>
  <si>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</si>
  <si>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</si>
  <si>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</si>
  <si>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</si>
  <si>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</si>
  <si>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</si>
  <si>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</si>
  <si>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</si>
  <si>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</si>
  <si>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</si>
  <si>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</si>
  <si>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</si>
  <si>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</si>
  <si>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</si>
  <si>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</si>
  <si>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</si>
  <si>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</si>
  <si>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</si>
  <si>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</si>
  <si>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</si>
  <si>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</si>
  <si>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</si>
  <si>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</si>
  <si>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</si>
  <si>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</si>
  <si>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</si>
  <si>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</si>
  <si>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</si>
  <si>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</si>
  <si>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</si>
  <si>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</si>
  <si>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</si>
  <si>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</si>
  <si>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</si>
  <si>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</si>
  <si>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</si>
  <si>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</si>
  <si>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</si>
  <si>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</si>
  <si>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</si>
  <si>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</si>
  <si>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</si>
  <si>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</si>
  <si>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</si>
  <si>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</si>
  <si>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</si>
  <si>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</si>
  <si>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</si>
  <si>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</si>
  <si>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</si>
  <si>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</si>
  <si>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</si>
  <si>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</si>
  <si>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</si>
  <si>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</si>
  <si>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</si>
  <si>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</si>
  <si>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</si>
  <si>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</si>
  <si>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</si>
  <si>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</si>
  <si>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</si>
  <si>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</si>
  <si>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</si>
  <si>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</si>
  <si>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</si>
  <si>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</si>
  <si>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</si>
  <si>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</si>
  <si>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</si>
  <si>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</si>
  <si>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</si>
  <si>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</si>
  <si>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</si>
  <si>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</si>
  <si>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</si>
  <si>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</si>
  <si>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</si>
  <si>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</si>
  <si>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</si>
  <si>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</si>
  <si>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</si>
  <si>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</si>
  <si>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</si>
  <si>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</si>
  <si>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</si>
  <si>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</si>
  <si>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</si>
  <si>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</si>
  <si>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</si>
  <si>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</si>
  <si>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</si>
  <si>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</si>
  <si>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</si>
  <si>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</si>
  <si>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</si>
  <si>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</si>
  <si>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</si>
  <si>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</si>
  <si>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</si>
  <si>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</si>
  <si>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</si>
  <si>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</si>
  <si>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</si>
  <si>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</si>
  <si>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</si>
  <si>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</si>
  <si>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</si>
  <si>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</si>
  <si>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</si>
  <si>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</si>
  <si>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</si>
  <si>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</si>
  <si>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</si>
  <si>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</si>
  <si>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</si>
  <si>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</si>
  <si>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</si>
  <si>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</si>
  <si>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</si>
  <si>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</si>
  <si>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</si>
  <si>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</si>
  <si>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</si>
  <si>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</si>
  <si>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</si>
  <si>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</si>
  <si>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</si>
  <si>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</si>
  <si>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</si>
  <si>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</si>
  <si>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</si>
  <si>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</si>
  <si>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</si>
  <si>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</si>
  <si>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</si>
  <si>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</si>
  <si>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</si>
  <si>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</si>
  <si>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</si>
  <si>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</si>
  <si>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</si>
  <si>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</si>
  <si>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</si>
  <si>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</si>
  <si>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</si>
  <si>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</si>
  <si>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</si>
  <si>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</si>
  <si>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</si>
  <si>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</si>
  <si>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</si>
  <si>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</si>
  <si>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</si>
  <si>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</si>
  <si>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</si>
  <si>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</si>
  <si>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</si>
  <si>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</si>
  <si>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</si>
  <si>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</si>
  <si>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</si>
  <si>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</si>
  <si>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</si>
  <si>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</si>
  <si>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</si>
  <si>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</si>
  <si>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</si>
  <si>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</si>
  <si>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</si>
  <si>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</si>
  <si>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</si>
  <si>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</si>
  <si>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</si>
  <si>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</si>
  <si>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</si>
  <si>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</si>
  <si>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</si>
  <si>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</si>
  <si>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</si>
  <si>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</si>
  <si>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</si>
  <si>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</si>
  <si>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</si>
  <si>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</si>
  <si>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</si>
  <si>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</si>
  <si>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</si>
  <si>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</si>
  <si>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</si>
  <si>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</si>
  <si>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</si>
  <si>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</si>
  <si>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</si>
  <si>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</si>
  <si>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</si>
  <si>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</si>
  <si>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</si>
  <si>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</si>
  <si>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</si>
  <si>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</si>
  <si>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</si>
  <si>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</si>
  <si>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</si>
  <si>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</si>
  <si>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</si>
  <si>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</si>
  <si>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</si>
  <si>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</si>
  <si>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</si>
  <si>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</si>
  <si>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</si>
  <si>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</si>
  <si>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</si>
  <si>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</si>
  <si>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</si>
  <si>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</si>
  <si>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</si>
  <si>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</si>
  <si>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</si>
  <si>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</si>
  <si>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</si>
  <si>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</si>
  <si>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</si>
  <si>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</si>
  <si>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</si>
  <si>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</si>
  <si>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</si>
  <si>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</si>
  <si>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</si>
  <si>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</si>
  <si>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</si>
  <si>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</si>
  <si>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</si>
  <si>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</si>
  <si>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</si>
  <si>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</si>
  <si>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</si>
  <si>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</si>
  <si>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</si>
  <si>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</si>
  <si>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</si>
  <si>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</si>
  <si>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</si>
  <si>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</si>
  <si>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</si>
  <si>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</si>
  <si>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</si>
  <si>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</si>
  <si>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</si>
  <si>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</si>
  <si>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</si>
  <si>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</si>
  <si>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</si>
  <si>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</si>
  <si>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</si>
  <si>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</si>
  <si>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</si>
  <si>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</si>
  <si>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</si>
  <si>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</si>
  <si>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</si>
  <si>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</si>
  <si>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</si>
  <si>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</si>
  <si>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</si>
  <si>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</si>
  <si>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</si>
  <si>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</si>
  <si>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</si>
  <si>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</si>
  <si>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</si>
  <si>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</si>
  <si>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</si>
  <si>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</si>
  <si>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</si>
  <si>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</si>
  <si>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</si>
  <si>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</si>
  <si>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</si>
  <si>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</si>
  <si>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</si>
  <si>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</si>
  <si>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</si>
  <si>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</si>
  <si>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</si>
  <si>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</si>
  <si>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</si>
  <si>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</si>
  <si>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</si>
  <si>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</si>
  <si>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</si>
  <si>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</si>
  <si>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</si>
  <si>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</si>
  <si>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</si>
  <si>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</si>
  <si>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</si>
  <si>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</si>
  <si>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</si>
  <si>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</si>
  <si>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</si>
  <si>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</si>
  <si>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</si>
  <si>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</si>
  <si>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</si>
  <si>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</si>
  <si>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</si>
  <si>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</si>
  <si>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</si>
  <si>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</si>
  <si>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</si>
  <si>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</si>
  <si>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</si>
  <si>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</si>
  <si>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</si>
  <si>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</si>
  <si>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</si>
  <si>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</si>
  <si>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</si>
  <si>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</si>
  <si>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</si>
  <si>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</si>
  <si>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</si>
  <si>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</si>
  <si>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</si>
  <si>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</si>
  <si>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</si>
  <si>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</si>
  <si>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</si>
  <si>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</si>
  <si>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</si>
  <si>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</si>
  <si>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</si>
  <si>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</si>
  <si>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</si>
  <si>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</si>
  <si>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</si>
  <si>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</si>
  <si>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</si>
  <si>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</si>
  <si>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</si>
  <si>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</si>
  <si>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</si>
  <si>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</si>
  <si>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</si>
  <si>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</si>
  <si>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</si>
  <si>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</si>
  <si>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</si>
  <si>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</si>
  <si>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</si>
  <si>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</si>
  <si>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</si>
  <si>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</si>
  <si>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</si>
  <si>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</si>
  <si>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</si>
  <si>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</si>
  <si>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</si>
  <si>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</si>
  <si>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</si>
  <si>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</si>
  <si>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</si>
  <si>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</si>
  <si>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</si>
  <si>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</si>
  <si>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</si>
  <si>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</si>
  <si>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</si>
  <si>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</si>
  <si>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</si>
  <si>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</si>
  <si>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</si>
  <si>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</si>
  <si>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</si>
  <si>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</si>
  <si>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</si>
  <si>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</si>
  <si>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</si>
  <si>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</si>
  <si>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</si>
  <si>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</si>
  <si>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</si>
  <si>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</si>
  <si>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</si>
  <si>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</si>
  <si>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</si>
  <si>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</si>
  <si>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</si>
  <si>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</si>
  <si>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</si>
  <si>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</si>
  <si>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</si>
  <si>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</si>
  <si>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</si>
  <si>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</si>
  <si>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</si>
  <si>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</si>
  <si>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</si>
  <si>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</si>
  <si>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</si>
  <si>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</si>
  <si>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</si>
  <si>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</si>
  <si>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</si>
  <si>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</si>
  <si>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</si>
  <si>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</si>
  <si>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</si>
  <si>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</si>
  <si>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</si>
  <si>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</si>
  <si>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</si>
  <si>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</si>
  <si>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</si>
  <si>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</si>
  <si>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</si>
  <si>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</si>
  <si>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</si>
  <si>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</si>
  <si>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</si>
  <si>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</si>
  <si>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</si>
  <si>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</si>
  <si>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</si>
  <si>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</si>
  <si>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</si>
  <si>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</si>
  <si>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</si>
  <si>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</si>
  <si>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</si>
  <si>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</si>
  <si>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</si>
  <si>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</si>
  <si>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</si>
  <si>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</si>
  <si>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</si>
  <si>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</si>
  <si>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</si>
  <si>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</si>
  <si>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</si>
  <si>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</si>
  <si>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</si>
  <si>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</si>
  <si>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</si>
  <si>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</si>
  <si>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</si>
  <si>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</si>
  <si>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</si>
  <si>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</si>
  <si>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</si>
  <si>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</si>
  <si>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</si>
  <si>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</si>
  <si>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</si>
  <si>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</si>
  <si>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</si>
  <si>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</si>
  <si>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</si>
  <si>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</si>
  <si>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</si>
  <si>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</si>
  <si>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</si>
  <si>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</si>
  <si>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</si>
  <si>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</si>
  <si>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</si>
  <si>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</si>
  <si>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</si>
  <si>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</si>
  <si>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</si>
  <si>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</si>
  <si>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</si>
  <si>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</si>
  <si>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</si>
  <si>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</si>
  <si>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</si>
  <si>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</si>
  <si>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</si>
  <si>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</si>
  <si>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</si>
  <si>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</si>
  <si>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</si>
  <si>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</si>
  <si>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</si>
  <si>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</si>
  <si>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</si>
  <si>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</si>
  <si>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</si>
  <si>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</si>
  <si>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</si>
  <si>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</si>
  <si>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</si>
  <si>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</si>
  <si>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</si>
  <si>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</si>
  <si>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</si>
  <si>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</si>
  <si>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</si>
  <si>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</si>
  <si>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</si>
  <si>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</si>
  <si>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</si>
  <si>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</si>
  <si>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</si>
  <si>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</si>
  <si>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</si>
  <si>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</si>
  <si>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</si>
  <si>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</si>
  <si>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</si>
  <si>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</si>
  <si>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</si>
  <si>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</si>
  <si>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</si>
  <si>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</si>
  <si>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</si>
  <si>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</si>
  <si>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</si>
  <si>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</si>
  <si>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</si>
  <si>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</si>
  <si>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</si>
  <si>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</si>
  <si>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</si>
  <si>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</si>
  <si>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</si>
  <si>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</si>
  <si>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</si>
  <si>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</si>
  <si>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</si>
  <si>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</si>
  <si>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</si>
  <si>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</si>
  <si>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</si>
  <si>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</si>
  <si>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</si>
  <si>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</si>
  <si>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</si>
  <si>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</si>
  <si>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</si>
  <si>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</si>
  <si>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</si>
  <si>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</si>
  <si>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</si>
  <si>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</si>
  <si>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</si>
  <si>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</si>
  <si>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</si>
  <si>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</si>
  <si>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</si>
  <si>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</si>
  <si>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</si>
  <si>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</si>
  <si>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</si>
  <si>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</si>
  <si>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</si>
  <si>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</si>
  <si>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</si>
  <si>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</si>
  <si>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</si>
  <si>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</si>
  <si>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</si>
  <si>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</si>
  <si>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</si>
  <si>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</si>
  <si>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</si>
  <si>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</si>
  <si>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</si>
  <si>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</si>
  <si>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</si>
  <si>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</si>
  <si>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</si>
  <si>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</si>
  <si>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</si>
  <si>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</si>
  <si>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</si>
  <si>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</si>
  <si>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</si>
  <si>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</si>
  <si>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</si>
  <si>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</si>
  <si>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</si>
  <si>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</si>
  <si>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</si>
  <si>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</si>
  <si>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</si>
  <si>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</si>
  <si>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</si>
  <si>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</si>
  <si>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</si>
  <si>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</si>
  <si>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</si>
  <si>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</si>
  <si>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</si>
  <si>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</si>
  <si>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</si>
  <si>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</si>
  <si>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</si>
  <si>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</si>
  <si>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</si>
  <si>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</si>
  <si>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</si>
  <si>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</si>
  <si>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</si>
  <si>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</si>
  <si>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</si>
  <si>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</si>
  <si>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</si>
  <si>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</si>
  <si>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</si>
  <si>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</si>
  <si>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</si>
  <si>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</si>
  <si>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</si>
  <si>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</si>
  <si>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</si>
  <si>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</si>
  <si>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</si>
  <si>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</si>
  <si>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</si>
  <si>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</si>
  <si>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</si>
  <si>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</si>
  <si>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</si>
  <si>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</si>
  <si>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</si>
  <si>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</si>
  <si>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</si>
  <si>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</si>
  <si>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</si>
  <si>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</si>
  <si>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</si>
  <si>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</si>
  <si>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</si>
  <si>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</si>
  <si>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</si>
  <si>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</si>
  <si>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</si>
  <si>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</si>
  <si>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</si>
  <si>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</si>
  <si>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</si>
  <si>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</si>
  <si>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</si>
  <si>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</si>
  <si>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</si>
  <si>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</si>
  <si>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</si>
  <si>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</si>
  <si>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</si>
  <si>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</si>
  <si>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</si>
  <si>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</si>
  <si>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</si>
  <si>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</si>
  <si>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</si>
  <si>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</si>
  <si>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</si>
  <si>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</si>
  <si>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</si>
  <si>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</si>
  <si>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</si>
  <si>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</si>
  <si>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</si>
  <si>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</si>
  <si>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</si>
  <si>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</si>
  <si>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</si>
  <si>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</si>
  <si>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</si>
  <si>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</si>
  <si>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</si>
  <si>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</si>
  <si>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</si>
  <si>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</si>
  <si>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</si>
  <si>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</si>
  <si>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</si>
  <si>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</si>
  <si>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</si>
  <si>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</si>
  <si>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</si>
  <si>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</si>
  <si>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</si>
  <si>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</si>
  <si>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</si>
  <si>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</si>
  <si>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</si>
  <si>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</si>
  <si>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</si>
  <si>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</si>
  <si>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</si>
  <si>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</si>
  <si>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</si>
  <si>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</si>
  <si>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</si>
  <si>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</si>
  <si>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</si>
  <si>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</si>
  <si>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</si>
  <si>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</si>
  <si>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</si>
  <si>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</si>
  <si>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</si>
  <si>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</si>
  <si>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</si>
  <si>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</si>
  <si>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</si>
  <si>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</si>
  <si>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</si>
  <si>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</si>
  <si>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</si>
  <si>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</si>
  <si>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</si>
  <si>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</si>
  <si>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</si>
  <si>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</si>
  <si>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</si>
  <si>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</si>
  <si>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</si>
  <si>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</si>
  <si>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</si>
  <si>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</si>
  <si>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</si>
  <si>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</si>
  <si>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</si>
  <si>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</si>
  <si>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</si>
  <si>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</si>
  <si>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</si>
  <si>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</si>
  <si>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</si>
  <si>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</si>
  <si>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</si>
  <si>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</si>
  <si>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</si>
  <si>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</si>
  <si>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</si>
  <si>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</si>
  <si>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</si>
  <si>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</si>
  <si>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</si>
  <si>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</si>
  <si>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</si>
  <si>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</si>
  <si>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</si>
  <si>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</si>
  <si>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</si>
  <si>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</si>
  <si>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</si>
  <si>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</si>
  <si>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</si>
  <si>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</si>
  <si>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</si>
  <si>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</si>
  <si>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</si>
  <si>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</si>
  <si>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</si>
  <si>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</si>
  <si>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</si>
  <si>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</si>
  <si>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</si>
  <si>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</si>
  <si>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</si>
  <si>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</si>
  <si>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</si>
  <si>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</si>
  <si>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</si>
  <si>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</si>
  <si>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</si>
  <si>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</si>
  <si>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</si>
  <si>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</si>
  <si>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</si>
  <si>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</si>
  <si>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</si>
  <si>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</si>
  <si>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</si>
  <si>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</si>
  <si>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</si>
  <si>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</si>
  <si>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</si>
  <si>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</si>
  <si>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</si>
  <si>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</si>
  <si>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</si>
  <si>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</si>
  <si>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</si>
  <si>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</si>
  <si>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</si>
  <si>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</si>
  <si>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</si>
  <si>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</si>
  <si>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</si>
  <si>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</si>
  <si>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</si>
  <si>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</si>
  <si>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</si>
  <si>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</si>
  <si>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</si>
  <si>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</si>
  <si>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</si>
  <si>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</si>
  <si>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</si>
  <si>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</si>
  <si>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</si>
  <si>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</si>
  <si>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</si>
  <si>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</si>
  <si>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</si>
  <si>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</si>
  <si>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</si>
  <si>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</si>
  <si>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</si>
  <si>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</si>
  <si>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</si>
  <si>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</si>
  <si>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</si>
  <si>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</si>
  <si>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</si>
  <si>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</si>
  <si>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</si>
  <si>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</si>
  <si>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</si>
  <si>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</si>
  <si>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</si>
  <si>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</si>
  <si>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</si>
  <si>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</si>
  <si>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</si>
  <si>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</si>
  <si>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</si>
  <si>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</si>
  <si>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</si>
  <si>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</si>
  <si>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</si>
  <si>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</si>
  <si>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</si>
  <si>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</si>
  <si>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</si>
  <si>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</si>
  <si>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</si>
  <si>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</si>
  <si>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</si>
  <si>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</si>
  <si>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</si>
  <si>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</si>
  <si>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</si>
  <si>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</si>
  <si>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</si>
  <si>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</si>
  <si>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</si>
  <si>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</si>
  <si>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</si>
  <si>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</si>
  <si>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</si>
  <si>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</si>
  <si>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</si>
  <si>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</si>
  <si>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</si>
  <si>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</si>
  <si>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</si>
  <si>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</si>
  <si>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</si>
  <si>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</si>
  <si>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</si>
  <si>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</si>
  <si>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</si>
  <si>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</si>
  <si>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</si>
  <si>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</si>
  <si>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</si>
  <si>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</si>
  <si>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</si>
  <si>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</si>
  <si>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</si>
  <si>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</si>
  <si>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</si>
  <si>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</si>
  <si>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</si>
  <si>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</si>
  <si>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</si>
  <si>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</si>
  <si>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</si>
  <si>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</si>
  <si>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</si>
  <si>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</si>
  <si>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</si>
  <si>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</si>
  <si>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</si>
  <si>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</si>
  <si>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</si>
  <si>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</si>
  <si>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</si>
  <si>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</si>
  <si>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</si>
  <si>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</si>
  <si>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</si>
  <si>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</si>
  <si>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</si>
  <si>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</si>
  <si>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</si>
  <si>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</si>
  <si>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</si>
  <si>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</si>
  <si>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</si>
  <si>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</si>
  <si>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</si>
  <si>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</si>
  <si>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</si>
  <si>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</si>
  <si>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</si>
  <si>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</si>
  <si>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</si>
  <si>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</si>
  <si>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</si>
  <si>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</si>
  <si>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</si>
  <si>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</si>
  <si>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</si>
  <si>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</si>
  <si>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</si>
  <si>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</si>
  <si>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</si>
  <si>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</si>
  <si>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</si>
  <si>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</si>
  <si>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</si>
  <si>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</si>
  <si>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</si>
  <si>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</si>
  <si>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</si>
  <si>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</si>
  <si>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</si>
  <si>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</si>
  <si>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</si>
  <si>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</si>
  <si>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</si>
  <si>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</si>
  <si>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</si>
  <si>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</si>
  <si>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</si>
  <si>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</si>
  <si>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</si>
  <si>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</si>
  <si>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</si>
  <si>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</si>
  <si>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</si>
  <si>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</si>
  <si>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</si>
  <si>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</si>
  <si>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</si>
  <si>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</si>
  <si>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</si>
  <si>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</si>
  <si>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</si>
  <si>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</si>
  <si>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</si>
  <si>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</si>
  <si>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</si>
  <si>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</si>
  <si>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</si>
  <si>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</si>
  <si>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</si>
  <si>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</si>
  <si>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</si>
  <si>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</si>
  <si>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</si>
  <si>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</si>
  <si>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</si>
  <si>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</si>
  <si>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</si>
  <si>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</si>
  <si>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</si>
  <si>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</si>
  <si>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</si>
  <si>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</si>
  <si>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</si>
  <si>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</si>
  <si>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</si>
  <si>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</si>
  <si>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</si>
  <si>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</si>
  <si>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</si>
  <si>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</si>
  <si>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</si>
  <si>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</si>
  <si>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</si>
  <si>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</si>
  <si>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</si>
  <si>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</si>
  <si>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</si>
  <si>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</si>
  <si>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</si>
  <si>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</si>
  <si>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</si>
  <si>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</si>
  <si>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</si>
  <si>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</si>
  <si>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</si>
  <si>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</si>
  <si>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</si>
  <si>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</si>
  <si>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</si>
  <si>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</si>
  <si>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</si>
  <si>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</si>
  <si>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</si>
  <si>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</si>
  <si>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</si>
  <si>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</si>
  <si>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</si>
  <si>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</si>
  <si>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</si>
  <si>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</si>
  <si>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</si>
  <si>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</si>
  <si>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</si>
  <si>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</si>
  <si>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</si>
  <si>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</si>
  <si>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</si>
  <si>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</si>
  <si>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</si>
  <si>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</si>
  <si>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</si>
  <si>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</si>
  <si>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</si>
  <si>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</si>
  <si>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</si>
  <si>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</si>
  <si>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</si>
  <si>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</si>
  <si>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</si>
  <si>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</si>
  <si>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</si>
  <si>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</si>
  <si>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</si>
  <si>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</si>
  <si>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</si>
  <si>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</si>
  <si>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</si>
  <si>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</si>
  <si>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</si>
  <si>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</si>
  <si>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</si>
  <si>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</si>
  <si>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</si>
  <si>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</si>
  <si>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</si>
  <si>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</si>
  <si>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</si>
  <si>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</si>
  <si>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</si>
  <si>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</si>
  <si>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</si>
  <si>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</si>
  <si>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</si>
  <si>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</si>
  <si>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</si>
  <si>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</si>
  <si>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</si>
  <si>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</si>
  <si>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</si>
  <si>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</si>
  <si>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</si>
  <si>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</si>
  <si>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</si>
  <si>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</si>
  <si>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</si>
  <si>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</si>
  <si>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</si>
  <si>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</si>
  <si>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</si>
  <si>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</si>
  <si>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</si>
  <si>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</si>
  <si>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</si>
  <si>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</si>
  <si>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</si>
  <si>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</si>
  <si>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</si>
  <si>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</si>
  <si>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</si>
  <si>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</si>
  <si>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</si>
  <si>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</si>
  <si>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</si>
  <si>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</si>
  <si>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</si>
  <si>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</si>
  <si>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</si>
  <si>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</si>
  <si>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</si>
  <si>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</si>
  <si>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</si>
  <si>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</si>
  <si>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</si>
  <si>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</si>
  <si>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</si>
  <si>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</si>
  <si>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</si>
  <si>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</si>
  <si>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</si>
  <si>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</si>
  <si>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</si>
  <si>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</si>
  <si>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</si>
  <si>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</si>
  <si>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</si>
  <si>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</si>
  <si>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</si>
  <si>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</si>
  <si>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</si>
  <si>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</si>
  <si>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</si>
  <si>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</si>
  <si>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</si>
  <si>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</si>
  <si>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</si>
  <si>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</si>
  <si>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</si>
  <si>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</si>
  <si>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</si>
  <si>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</si>
  <si>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</si>
  <si>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</si>
  <si>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</si>
  <si>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</si>
  <si>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</si>
  <si>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</si>
  <si>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</si>
  <si>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</si>
  <si>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</si>
  <si>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</si>
  <si>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</si>
  <si>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</si>
  <si>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</si>
  <si>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</si>
  <si>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</si>
  <si>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</si>
  <si>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</si>
  <si>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</si>
  <si>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</si>
  <si>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</si>
  <si>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</si>
  <si>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</si>
  <si>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</si>
  <si>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</si>
  <si>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</si>
  <si>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</si>
  <si>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</si>
  <si>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</si>
  <si>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</si>
  <si>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</si>
  <si>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</si>
  <si>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</si>
  <si>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</si>
  <si>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</si>
  <si>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</si>
  <si>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</si>
  <si>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</si>
  <si>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</si>
  <si>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</si>
  <si>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</si>
  <si>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</si>
  <si>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</si>
  <si>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</si>
  <si>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</si>
  <si>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</si>
  <si>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</si>
  <si>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</si>
  <si>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</si>
  <si>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</si>
  <si>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</si>
  <si>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</si>
  <si>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</si>
  <si>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</si>
  <si>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</si>
  <si>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</si>
  <si>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</si>
  <si>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</si>
  <si>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</si>
  <si>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</si>
  <si>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</si>
  <si>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</si>
  <si>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</si>
  <si>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</si>
  <si>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</si>
  <si>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</si>
  <si>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</si>
  <si>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</si>
  <si>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</si>
  <si>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</si>
  <si>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</si>
  <si>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</si>
  <si>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</si>
  <si>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</si>
  <si>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</si>
  <si>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</si>
  <si>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</si>
  <si>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</si>
  <si>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</si>
  <si>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</si>
  <si>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</si>
  <si>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</si>
  <si>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</si>
  <si>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</si>
  <si>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</si>
  <si>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</si>
  <si>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</si>
  <si>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</si>
  <si>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</si>
  <si>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</si>
  <si>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</si>
  <si>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</si>
  <si>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</si>
  <si>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</si>
  <si>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</si>
  <si>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</si>
  <si>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</si>
  <si>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</si>
  <si>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</si>
  <si>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</si>
  <si>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</si>
  <si>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</si>
  <si>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</si>
  <si>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</si>
  <si>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</si>
  <si>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</si>
  <si>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</si>
  <si>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</si>
  <si>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</si>
  <si>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</si>
  <si>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</si>
  <si>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</si>
  <si>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</si>
  <si>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</si>
  <si>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</si>
  <si>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</si>
  <si>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</si>
  <si>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</si>
  <si>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</si>
  <si>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</si>
  <si>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</si>
  <si>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</si>
  <si>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</si>
  <si>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</si>
  <si>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</si>
  <si>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</si>
  <si>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</si>
  <si>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</si>
  <si>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</si>
  <si>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</si>
  <si>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</si>
  <si>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</si>
  <si>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</si>
  <si>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</si>
  <si>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</si>
  <si>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</si>
  <si>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</si>
  <si>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</si>
  <si>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</si>
  <si>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</si>
  <si>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</si>
  <si>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</si>
  <si>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</si>
  <si>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</si>
  <si>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</si>
  <si>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</si>
  <si>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</si>
  <si>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</si>
  <si>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</si>
  <si>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</si>
  <si>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</si>
  <si>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</si>
  <si>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</si>
  <si>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</si>
  <si>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</si>
  <si>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</si>
  <si>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</si>
  <si>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</si>
  <si>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</si>
  <si>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</si>
  <si>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</si>
  <si>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</si>
  <si>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</si>
  <si>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</si>
  <si>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</si>
  <si>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</si>
  <si>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</si>
  <si>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</si>
  <si>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</si>
  <si>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</si>
  <si>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</si>
  <si>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</si>
  <si>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</si>
  <si>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</si>
  <si>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</si>
  <si>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</si>
  <si>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</si>
  <si>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</si>
  <si>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</si>
  <si>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</si>
  <si>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</si>
  <si>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</si>
  <si>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</si>
  <si>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</si>
  <si>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</si>
  <si>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</si>
  <si>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</si>
  <si>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</si>
  <si>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</si>
  <si>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</si>
  <si>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</si>
  <si>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</si>
  <si>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</si>
  <si>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</si>
  <si>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</si>
  <si>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</si>
  <si>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</si>
  <si>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</si>
  <si>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</si>
  <si>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</si>
  <si>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</si>
  <si>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</si>
  <si>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</si>
  <si>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</si>
  <si>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</si>
  <si>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</si>
  <si>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</si>
  <si>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</si>
  <si>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</si>
  <si>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</si>
  <si>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</si>
  <si>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</si>
  <si>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</si>
  <si>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</si>
  <si>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</si>
  <si>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</si>
  <si>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</si>
  <si>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</si>
  <si>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</si>
  <si>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</si>
  <si>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</si>
  <si>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</si>
  <si>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</si>
  <si>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</si>
  <si>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</si>
  <si>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</si>
  <si>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</si>
  <si>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</si>
  <si>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</si>
  <si>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</si>
  <si>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</si>
  <si>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</si>
  <si>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</si>
  <si>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</si>
  <si>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</si>
  <si>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</si>
  <si>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</si>
  <si>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</si>
  <si>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</si>
  <si>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</si>
  <si>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</si>
  <si>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</si>
  <si>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</si>
  <si>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</si>
  <si>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</si>
  <si>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</si>
  <si>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</si>
  <si>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</si>
  <si>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</si>
  <si>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</si>
  <si>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</si>
  <si>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</si>
  <si>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</si>
  <si>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</si>
  <si>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</si>
  <si>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</si>
  <si>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</si>
  <si>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</si>
  <si>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</si>
  <si>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</si>
  <si>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</si>
  <si>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</si>
  <si>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</si>
  <si>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</si>
  <si>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</si>
  <si>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</si>
  <si>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</si>
  <si>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</si>
  <si>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</si>
  <si>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</si>
  <si>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</si>
  <si>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</si>
  <si>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</si>
  <si>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</si>
  <si>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</si>
  <si>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</si>
  <si>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</si>
  <si>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</si>
  <si>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</si>
  <si>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</si>
  <si>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</si>
  <si>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</si>
  <si>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</si>
  <si>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</si>
  <si>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</si>
  <si>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</si>
  <si>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</si>
  <si>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</si>
  <si>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</si>
  <si>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</si>
  <si>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</si>
  <si>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</si>
  <si>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</si>
  <si>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</si>
  <si>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</si>
  <si>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</si>
  <si>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</si>
  <si>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</si>
  <si>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</si>
  <si>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</si>
  <si>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</si>
  <si>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</si>
  <si>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</si>
  <si>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</si>
  <si>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</si>
  <si>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</si>
  <si>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</si>
  <si>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</si>
  <si>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</si>
  <si>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</si>
  <si>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</si>
  <si>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</si>
  <si>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</si>
  <si>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</si>
  <si>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</si>
  <si>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</si>
  <si>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</si>
  <si>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</si>
  <si>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</si>
  <si>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</si>
  <si>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</si>
  <si>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</si>
  <si>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</si>
  <si>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</si>
  <si>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</si>
  <si>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</si>
  <si>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</si>
  <si>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</si>
  <si>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</si>
  <si>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</si>
  <si>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</si>
  <si>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</si>
  <si>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</si>
  <si>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</si>
  <si>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</si>
  <si>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</si>
  <si>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</si>
  <si>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</si>
  <si>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</si>
  <si>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</si>
  <si>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</si>
  <si>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</si>
  <si>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</si>
  <si>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</si>
  <si>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</si>
  <si>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</si>
  <si>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</si>
  <si>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</si>
  <si>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</si>
  <si>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</si>
  <si>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</si>
  <si>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</si>
  <si>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</si>
  <si>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</si>
  <si>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</si>
  <si>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</si>
  <si>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</si>
  <si>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</si>
  <si>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</si>
  <si>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</si>
  <si>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</si>
  <si>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</si>
  <si>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</si>
  <si>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</si>
  <si>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</si>
  <si>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</si>
  <si>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</si>
  <si>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</si>
  <si>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</si>
  <si>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</si>
  <si>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</si>
  <si>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</si>
  <si>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</si>
  <si>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</si>
  <si>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</si>
  <si>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</si>
  <si>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</si>
  <si>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</si>
  <si>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</si>
  <si>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</si>
  <si>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</si>
  <si>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</si>
  <si>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</si>
  <si>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</si>
  <si>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</si>
  <si>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</si>
  <si>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</si>
  <si>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</si>
  <si>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</si>
  <si>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</si>
  <si>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</si>
  <si>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</si>
  <si>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</si>
  <si>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</si>
  <si>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</si>
  <si>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</si>
  <si>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</si>
  <si>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</si>
  <si>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</si>
  <si>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</si>
  <si>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</si>
  <si>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</si>
  <si>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</si>
  <si>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</si>
  <si>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</si>
  <si>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</si>
  <si>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</si>
  <si>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</si>
  <si>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</si>
  <si>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</si>
  <si>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</si>
  <si>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</si>
  <si>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</si>
  <si>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</si>
  <si>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</si>
  <si>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</si>
  <si>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</si>
  <si>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</si>
  <si>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</si>
  <si>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</si>
  <si>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</si>
  <si>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</si>
  <si>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</si>
  <si>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</si>
  <si>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</si>
  <si>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</si>
  <si>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</si>
  <si>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</si>
  <si>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</si>
  <si>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</si>
  <si>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</si>
  <si>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</si>
  <si>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</si>
  <si>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</si>
  <si>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</si>
  <si>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</si>
  <si>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</si>
  <si>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</si>
  <si>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</si>
  <si>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</si>
  <si>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</si>
  <si>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</si>
  <si>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</si>
  <si>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</si>
  <si>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</si>
  <si>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</si>
  <si>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</si>
  <si>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</si>
  <si>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</si>
  <si>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</si>
  <si>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</si>
  <si>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</si>
  <si>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</si>
  <si>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</si>
  <si>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</si>
  <si>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</si>
  <si>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</si>
  <si>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</si>
  <si>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</si>
  <si>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</si>
  <si>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</si>
  <si>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</si>
  <si>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</si>
  <si>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</si>
  <si>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</si>
  <si>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</si>
  <si>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</si>
  <si>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</si>
  <si>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</si>
  <si>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</si>
  <si>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</si>
  <si>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</si>
  <si>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</si>
  <si>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</si>
  <si>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</si>
  <si>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</si>
  <si>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</si>
  <si>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</si>
  <si>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</si>
  <si>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</si>
  <si>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</si>
  <si>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</si>
  <si>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</si>
  <si>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</si>
  <si>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</si>
  <si>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</si>
  <si>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</si>
  <si>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</si>
  <si>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</si>
  <si>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</si>
  <si>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</si>
  <si>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</si>
  <si>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</si>
  <si>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</si>
  <si>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</si>
  <si>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</si>
  <si>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</si>
  <si>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</si>
  <si>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</si>
  <si>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</si>
  <si>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</si>
  <si>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</si>
  <si>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</si>
  <si>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</si>
  <si>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</si>
  <si>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</si>
  <si>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</si>
  <si>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</si>
  <si>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</si>
  <si>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</si>
  <si>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</si>
  <si>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</si>
  <si>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</si>
  <si>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</si>
  <si>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</si>
  <si>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</si>
  <si>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</si>
  <si>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</si>
  <si>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</si>
  <si>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</si>
  <si>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</si>
  <si>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</si>
  <si>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</si>
  <si>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</si>
  <si>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</si>
  <si>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</si>
  <si>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</si>
  <si>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</si>
  <si>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</si>
  <si>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</si>
  <si>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</si>
  <si>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</si>
  <si>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</si>
  <si>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</si>
  <si>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</si>
  <si>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</si>
  <si>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</si>
  <si>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</si>
  <si>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</si>
  <si>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</si>
  <si>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</si>
  <si>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</si>
  <si>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</si>
  <si>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</si>
  <si>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</si>
  <si>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</si>
  <si>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</si>
  <si>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</si>
  <si>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</si>
  <si>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</si>
  <si>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</si>
  <si>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</si>
  <si>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</si>
  <si>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</si>
  <si>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</si>
  <si>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</si>
  <si>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</si>
  <si>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</si>
  <si>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</si>
  <si>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</si>
  <si>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</si>
  <si>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</si>
  <si>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</si>
  <si>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</si>
  <si>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</si>
  <si>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</si>
  <si>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</si>
  <si>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</si>
  <si>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</si>
  <si>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</si>
  <si>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</si>
  <si>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</si>
  <si>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</si>
  <si>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</si>
  <si>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</si>
  <si>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</si>
  <si>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</si>
  <si>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</si>
  <si>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</si>
  <si>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</si>
  <si>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</si>
  <si>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</si>
  <si>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</si>
  <si>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</si>
  <si>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</si>
  <si>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</si>
  <si>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</si>
  <si>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</si>
  <si>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</si>
  <si>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</si>
  <si>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</si>
  <si>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</si>
  <si>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</si>
  <si>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</si>
  <si>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</si>
  <si>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</si>
  <si>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</si>
  <si>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</si>
  <si>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</si>
  <si>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</si>
  <si>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</si>
  <si>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</si>
  <si>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</si>
  <si>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</si>
  <si>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</si>
  <si>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</si>
  <si>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</si>
  <si>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</si>
  <si>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</si>
  <si>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</si>
  <si>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</si>
  <si>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</si>
  <si>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</si>
  <si>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</si>
  <si>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</si>
  <si>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</si>
  <si>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</si>
  <si>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</si>
  <si>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</si>
  <si>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</si>
  <si>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</si>
  <si>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</si>
  <si>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</si>
  <si>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</si>
  <si>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</si>
  <si>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</si>
  <si>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</si>
  <si>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</si>
  <si>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</si>
  <si>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</si>
  <si>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</si>
  <si>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</si>
  <si>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</si>
  <si>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</si>
  <si>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</si>
  <si>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</si>
  <si>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</si>
  <si>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</si>
  <si>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</si>
  <si>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</si>
  <si>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</si>
  <si>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</si>
  <si>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</si>
  <si>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</si>
  <si>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</si>
  <si>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</si>
  <si>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</si>
  <si>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</si>
  <si>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</si>
  <si>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</si>
  <si>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</si>
  <si>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</si>
  <si>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</si>
  <si>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</si>
  <si>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</si>
  <si>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</si>
  <si>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</si>
  <si>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</si>
  <si>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</si>
  <si>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</si>
  <si>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</si>
  <si>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</si>
  <si>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</si>
  <si>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</si>
  <si>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</si>
  <si>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</si>
  <si>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</si>
  <si>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</si>
  <si>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</si>
  <si>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</si>
  <si>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</si>
  <si>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</si>
  <si>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</si>
  <si>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</si>
  <si>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</si>
  <si>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</si>
  <si>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</si>
  <si>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</si>
  <si>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</si>
  <si>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</si>
  <si>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</si>
  <si>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</si>
  <si>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</si>
  <si>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</si>
  <si>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</si>
  <si>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</si>
  <si>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</si>
  <si>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</si>
  <si>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</si>
  <si>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</si>
  <si>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</si>
  <si>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</si>
  <si>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</si>
  <si>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</si>
  <si>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</si>
  <si>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</si>
  <si>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</si>
  <si>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</si>
  <si>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</si>
  <si>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</si>
  <si>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</si>
  <si>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</si>
  <si>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</si>
  <si>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</si>
  <si>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</si>
  <si>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</si>
  <si>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</si>
  <si>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</si>
  <si>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</si>
  <si>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</si>
  <si>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</si>
  <si>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</si>
  <si>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</si>
  <si>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</si>
  <si>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</si>
  <si>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</si>
  <si>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</si>
  <si>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</si>
  <si>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</si>
  <si>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</si>
  <si>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</si>
  <si>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</si>
  <si>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</si>
  <si>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</si>
  <si>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</si>
  <si>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</si>
  <si>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</si>
  <si>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</si>
  <si>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</si>
  <si>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</si>
  <si>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</si>
  <si>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</si>
  <si>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</si>
  <si>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</si>
  <si>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</si>
  <si>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</si>
  <si>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</si>
  <si>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</si>
  <si>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</si>
  <si>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</si>
  <si>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</si>
  <si>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</si>
  <si>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</si>
  <si>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</si>
  <si>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</si>
  <si>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</si>
  <si>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</si>
  <si>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</si>
  <si>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</si>
  <si>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</si>
  <si>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</si>
  <si>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</si>
  <si>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</si>
  <si>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</si>
  <si>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</si>
  <si>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</si>
  <si>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</si>
  <si>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</si>
  <si>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</si>
  <si>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</si>
  <si>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</si>
  <si>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</si>
  <si>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</si>
  <si>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</si>
  <si>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</si>
  <si>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</si>
  <si>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</si>
  <si>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</si>
  <si>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</si>
  <si>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</si>
  <si>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</si>
  <si>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</si>
  <si>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</si>
  <si>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</si>
  <si>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</si>
  <si>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</si>
  <si>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</si>
  <si>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</si>
  <si>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</si>
  <si>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</si>
  <si>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</si>
  <si>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</si>
  <si>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</si>
  <si>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</si>
  <si>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</si>
  <si>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</si>
  <si>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</si>
  <si>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</si>
  <si>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</si>
  <si>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</si>
  <si>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</si>
  <si>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</si>
  <si>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</si>
  <si>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</si>
  <si>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</si>
  <si>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</si>
  <si>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</si>
  <si>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</si>
  <si>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</si>
  <si>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</si>
  <si>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</si>
  <si>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</si>
  <si>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</si>
  <si>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</si>
  <si>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</si>
  <si>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</si>
  <si>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</si>
  <si>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</si>
  <si>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</si>
  <si>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</si>
  <si>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</si>
  <si>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</si>
  <si>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</si>
  <si>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</si>
  <si>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</si>
  <si>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</si>
  <si>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</si>
  <si>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</si>
  <si>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</si>
  <si>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</si>
  <si>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</si>
  <si>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</si>
  <si>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</si>
  <si>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</si>
  <si>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</si>
  <si>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</si>
  <si>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</si>
  <si>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</si>
  <si>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</si>
  <si>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</si>
  <si>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</si>
  <si>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</si>
  <si>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</si>
  <si>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</si>
  <si>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</si>
  <si>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</si>
  <si>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</si>
  <si>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</si>
  <si>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</si>
  <si>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</si>
  <si>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</si>
  <si>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</si>
  <si>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</si>
  <si>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</si>
  <si>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</si>
  <si>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</si>
  <si>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</si>
  <si>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</si>
  <si>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</si>
  <si>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</si>
  <si>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</si>
  <si>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</si>
  <si>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</si>
  <si>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</si>
  <si>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</si>
  <si>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</si>
  <si>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</si>
  <si>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</si>
  <si>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</si>
  <si>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</si>
  <si>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</si>
  <si>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</si>
  <si>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</si>
  <si>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</si>
  <si>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</si>
  <si>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</si>
  <si>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</si>
  <si>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</si>
  <si>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</si>
  <si>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</si>
  <si>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</si>
  <si>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</si>
  <si>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</si>
  <si>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</si>
  <si>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</si>
  <si>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</si>
  <si>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</si>
  <si>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</si>
  <si>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</si>
  <si>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</si>
  <si>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</si>
  <si>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</si>
  <si>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</si>
  <si>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</si>
  <si>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</si>
  <si>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</si>
  <si>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</si>
  <si>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</si>
  <si>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</si>
  <si>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</si>
  <si>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</si>
  <si>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</si>
  <si>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</si>
  <si>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</si>
  <si>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</si>
  <si>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</si>
  <si>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</si>
  <si>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</si>
  <si>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</si>
  <si>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</si>
  <si>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</si>
  <si>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</si>
  <si>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</si>
  <si>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</si>
  <si>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</si>
  <si>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</si>
  <si>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</si>
  <si>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</si>
  <si>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</si>
  <si>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</si>
  <si>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</si>
  <si>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</si>
  <si>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</si>
  <si>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</si>
  <si>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</si>
  <si>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</si>
  <si>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</si>
  <si>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</si>
  <si>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</si>
  <si>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</si>
  <si>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</si>
  <si>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</si>
  <si>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</si>
  <si>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</si>
  <si>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</si>
  <si>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</si>
  <si>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</si>
  <si>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</si>
  <si>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</si>
  <si>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</si>
  <si>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</si>
  <si>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</si>
  <si>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</si>
  <si>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</si>
  <si>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</si>
  <si>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</si>
  <si>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</si>
  <si>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</si>
  <si>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</si>
  <si>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</si>
  <si>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</si>
  <si>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</si>
  <si>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</si>
  <si>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</si>
  <si>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</si>
  <si>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</si>
  <si>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</si>
  <si>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</si>
  <si>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</si>
  <si>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</si>
  <si>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</si>
  <si>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</si>
  <si>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</si>
  <si>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</si>
  <si>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</si>
  <si>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</si>
  <si>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</si>
  <si>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</si>
  <si>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</si>
  <si>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</si>
  <si>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</si>
  <si>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</si>
  <si>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</si>
  <si>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</si>
  <si>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</si>
  <si>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</si>
  <si>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</si>
  <si>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</si>
  <si>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</si>
  <si>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</si>
  <si>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</si>
  <si>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</si>
  <si>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</si>
  <si>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</si>
  <si>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</si>
  <si>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</si>
  <si>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</si>
  <si>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</si>
  <si>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</si>
  <si>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</si>
  <si>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</si>
  <si>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</si>
  <si>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</si>
  <si>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</si>
  <si>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</si>
  <si>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</si>
  <si>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</si>
  <si>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</si>
  <si>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</si>
  <si>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</si>
  <si>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</si>
  <si>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</si>
  <si>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</si>
  <si>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</si>
  <si>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</si>
  <si>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</si>
  <si>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</si>
  <si>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</si>
  <si>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</si>
  <si>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</si>
  <si>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</si>
  <si>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</si>
  <si>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</si>
  <si>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</si>
  <si>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</si>
  <si>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</si>
  <si>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</si>
  <si>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</si>
  <si>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</si>
  <si>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</si>
  <si>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</si>
  <si>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</si>
  <si>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</si>
  <si>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</si>
  <si>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</si>
  <si>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</si>
  <si>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</si>
  <si>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</si>
  <si>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</si>
  <si>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</si>
  <si>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</si>
  <si>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</si>
  <si>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</si>
  <si>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</si>
  <si>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</si>
  <si>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</si>
  <si>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</si>
  <si>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</si>
  <si>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</si>
  <si>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</si>
  <si>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</si>
  <si>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</si>
  <si>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</si>
  <si>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</si>
  <si>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</si>
  <si>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</si>
  <si>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</si>
  <si>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</si>
  <si>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</si>
  <si>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</si>
  <si>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</si>
  <si>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</si>
  <si>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</si>
  <si>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</si>
  <si>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</si>
  <si>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</si>
  <si>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</si>
  <si>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</si>
  <si>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</si>
  <si>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</si>
  <si>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</si>
  <si>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</si>
  <si>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</si>
  <si>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</si>
  <si>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</si>
  <si>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</si>
  <si>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</si>
  <si>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</si>
  <si>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</si>
  <si>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</si>
  <si>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</si>
  <si>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</si>
  <si>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</si>
  <si>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</si>
  <si>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</si>
  <si>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</si>
  <si>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</si>
  <si>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</si>
  <si>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</si>
  <si>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</si>
  <si>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</si>
  <si>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</si>
  <si>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</si>
  <si>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</si>
  <si>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</si>
  <si>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</si>
  <si>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</si>
  <si>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</si>
  <si>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</si>
  <si>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</si>
  <si>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</si>
  <si>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</si>
  <si>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</si>
  <si>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</si>
  <si>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</si>
  <si>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</si>
  <si>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</si>
  <si>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</si>
  <si>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</si>
  <si>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</si>
  <si>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</si>
  <si>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</si>
  <si>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</si>
  <si>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</si>
  <si>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</si>
  <si>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</si>
  <si>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</si>
  <si>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</si>
  <si>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</si>
  <si>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</si>
  <si>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</si>
  <si>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</si>
  <si>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</si>
  <si>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</si>
  <si>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</si>
  <si>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</si>
  <si>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</si>
  <si>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</si>
  <si>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</si>
  <si>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</si>
  <si>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</si>
  <si>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</si>
  <si>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</si>
  <si>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</si>
  <si>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</si>
  <si>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</si>
  <si>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</si>
  <si>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</si>
  <si>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</si>
  <si>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</si>
  <si>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</si>
  <si>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</si>
  <si>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</si>
  <si>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</si>
  <si>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</si>
  <si>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</si>
  <si>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</si>
  <si>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</si>
  <si>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</si>
  <si>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</si>
  <si>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</si>
  <si>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</si>
  <si>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</si>
  <si>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</si>
  <si>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</si>
  <si>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</si>
  <si>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</si>
  <si>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</si>
  <si>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</si>
  <si>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</si>
  <si>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</si>
  <si>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</si>
  <si>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</si>
  <si>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</si>
  <si>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</si>
  <si>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</si>
  <si>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</si>
  <si>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</si>
  <si>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</si>
  <si>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</si>
  <si>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</si>
  <si>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</si>
  <si>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</si>
  <si>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</si>
  <si>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</si>
  <si>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</si>
  <si>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</si>
  <si>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</si>
  <si>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</si>
  <si>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</si>
  <si>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</si>
  <si>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</si>
  <si>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</si>
  <si>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</si>
  <si>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</si>
  <si>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</si>
  <si>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</si>
  <si>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</si>
  <si>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</si>
  <si>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</si>
  <si>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</si>
  <si>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</si>
  <si>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</si>
  <si>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</si>
  <si>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</si>
  <si>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</si>
  <si>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</si>
  <si>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</si>
  <si>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</si>
  <si>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</si>
  <si>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</si>
  <si>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</si>
  <si>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</si>
  <si>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</si>
  <si>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</si>
  <si>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</si>
  <si>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</si>
  <si>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</si>
  <si>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</si>
  <si>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</si>
  <si>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</si>
  <si>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</si>
  <si>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</si>
  <si>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</si>
  <si>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</si>
  <si>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</si>
  <si>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</si>
  <si>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</si>
  <si>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</si>
  <si>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</si>
  <si>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</si>
  <si>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</si>
  <si>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</si>
  <si>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</si>
  <si>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</si>
  <si>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</si>
  <si>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</si>
  <si>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</si>
  <si>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</si>
  <si>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</si>
  <si>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</si>
  <si>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</si>
  <si>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</si>
  <si>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</si>
  <si>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</si>
  <si>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</si>
  <si>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</si>
  <si>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</si>
  <si>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</si>
  <si>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</si>
  <si>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</si>
  <si>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</si>
  <si>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</si>
  <si>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</si>
  <si>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</si>
  <si>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</si>
  <si>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</si>
  <si>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</si>
  <si>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</si>
  <si>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</si>
  <si>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</si>
  <si>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</si>
  <si>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</si>
  <si>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</si>
  <si>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</si>
  <si>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</si>
  <si>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</si>
  <si>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</si>
  <si>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</si>
  <si>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</si>
  <si>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</si>
  <si>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</si>
  <si>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</si>
  <si>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</si>
  <si>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</si>
  <si>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</si>
  <si>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</si>
  <si>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</si>
  <si>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</si>
  <si>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</si>
  <si>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</si>
  <si>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</si>
  <si>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</si>
  <si>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</si>
  <si>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</si>
  <si>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</si>
  <si>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</si>
  <si>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</si>
  <si>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</si>
  <si>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</si>
  <si>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</si>
  <si>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</si>
  <si>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</si>
  <si>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</si>
  <si>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</si>
  <si>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</si>
  <si>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</si>
  <si>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</si>
  <si>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</si>
  <si>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</si>
  <si>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</si>
  <si>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</si>
  <si>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</si>
  <si>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</si>
  <si>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</si>
  <si>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</si>
  <si>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</si>
  <si>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</si>
  <si>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</si>
  <si>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</si>
  <si>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</si>
  <si>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</si>
  <si>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</si>
  <si>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</si>
  <si>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</si>
  <si>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</si>
  <si>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</si>
  <si>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</si>
  <si>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</si>
  <si>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</si>
  <si>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</si>
  <si>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</si>
  <si>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</si>
  <si>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</si>
  <si>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</si>
  <si>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</si>
  <si>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</si>
  <si>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</si>
  <si>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</si>
  <si>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</si>
  <si>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</si>
  <si>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</si>
  <si>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</si>
  <si>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</si>
  <si>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</si>
  <si>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</si>
  <si>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</si>
  <si>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</si>
  <si>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</si>
  <si>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</si>
  <si>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</si>
  <si>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</si>
  <si>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</si>
  <si>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</si>
  <si>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</si>
  <si>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</si>
  <si>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</si>
  <si>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</si>
  <si>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</si>
  <si>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</si>
  <si>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</si>
  <si>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</si>
  <si>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</si>
  <si>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</si>
  <si>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</si>
  <si>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</si>
  <si>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</si>
  <si>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</si>
  <si>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</si>
  <si>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</si>
  <si>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</si>
  <si>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</si>
  <si>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</si>
  <si>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</si>
  <si>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</si>
  <si>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</si>
  <si>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</si>
  <si>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</si>
  <si>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</si>
  <si>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</si>
  <si>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</si>
  <si>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</si>
  <si>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</si>
  <si>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</si>
  <si>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</si>
  <si>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</si>
  <si>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</si>
  <si>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</si>
  <si>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</si>
  <si>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</si>
  <si>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</si>
  <si>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</si>
  <si>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</si>
  <si>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</si>
  <si>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</si>
  <si>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</si>
  <si>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</si>
  <si>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</si>
  <si>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</si>
  <si>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</si>
  <si>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</si>
  <si>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</si>
  <si>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</si>
  <si>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</si>
  <si>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</si>
  <si>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</si>
  <si>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</si>
  <si>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</si>
  <si>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</si>
  <si>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</si>
  <si>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</si>
  <si>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</si>
  <si>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</si>
  <si>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</si>
  <si>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</si>
  <si>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</si>
  <si>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</si>
  <si>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</si>
  <si>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</si>
  <si>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</si>
  <si>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</si>
  <si>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</si>
  <si>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</si>
  <si>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</si>
  <si>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</si>
  <si>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</si>
  <si>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</si>
  <si>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</si>
  <si>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</si>
  <si>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</si>
  <si>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</si>
  <si>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</si>
  <si>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</si>
  <si>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</si>
  <si>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</si>
  <si>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</si>
  <si>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</si>
  <si>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</si>
  <si>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</si>
  <si>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</si>
  <si>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</si>
  <si>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</si>
  <si>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</si>
  <si>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</si>
  <si>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</si>
  <si>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</si>
  <si>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</si>
  <si>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</si>
  <si>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</si>
  <si>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</si>
  <si>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</si>
  <si>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</si>
  <si>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</si>
  <si>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</si>
  <si>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</si>
  <si>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</si>
  <si>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</si>
  <si>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</si>
  <si>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</si>
  <si>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</si>
  <si>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</si>
  <si>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</si>
  <si>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</si>
  <si>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</si>
  <si>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</si>
  <si>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</si>
  <si>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</si>
  <si>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</si>
  <si>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</si>
  <si>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</si>
  <si>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</si>
  <si>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</si>
  <si>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</si>
  <si>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</si>
  <si>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</si>
  <si>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</si>
  <si>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</si>
  <si>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</si>
  <si>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</si>
  <si>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</si>
  <si>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</si>
  <si>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</si>
  <si>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</si>
  <si>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</si>
  <si>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</si>
  <si>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</si>
  <si>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</si>
  <si>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</si>
  <si>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</si>
  <si>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</si>
  <si>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</si>
  <si>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</si>
  <si>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</si>
  <si>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</si>
  <si>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</si>
  <si>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</si>
  <si>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</si>
  <si>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</si>
  <si>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</si>
  <si>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</si>
  <si>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</si>
  <si>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</si>
  <si>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</si>
  <si>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</si>
  <si>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</si>
  <si>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</si>
  <si>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</si>
  <si>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</si>
  <si>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</si>
  <si>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</si>
  <si>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</si>
  <si>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</si>
  <si>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</si>
  <si>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</si>
  <si>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</si>
  <si>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</si>
  <si>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</si>
  <si>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</si>
  <si>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</si>
  <si>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</si>
  <si>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</si>
  <si>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</si>
  <si>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</si>
  <si>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</si>
  <si>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</si>
  <si>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</si>
  <si>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</si>
  <si>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</si>
  <si>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</si>
  <si>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</si>
  <si>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</si>
  <si>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</si>
  <si>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</si>
  <si>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</si>
  <si>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</si>
  <si>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</si>
  <si>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</si>
  <si>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</si>
  <si>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</si>
  <si>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</si>
  <si>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</si>
  <si>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</si>
  <si>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</si>
  <si>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</si>
  <si>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</si>
  <si>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</si>
  <si>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</si>
  <si>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</si>
  <si>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</si>
  <si>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</si>
  <si>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</si>
  <si>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</si>
  <si>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</si>
  <si>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</si>
  <si>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</si>
  <si>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</si>
  <si>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</si>
  <si>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</si>
  <si>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</si>
  <si>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</si>
  <si>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</si>
  <si>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</si>
  <si>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</si>
  <si>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</si>
  <si>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</si>
  <si>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</si>
  <si>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</si>
  <si>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</si>
  <si>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</si>
  <si>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</si>
  <si>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</si>
  <si>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</si>
  <si>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</si>
  <si>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</si>
  <si>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</si>
  <si>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</si>
  <si>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</si>
  <si>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</si>
  <si>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</si>
  <si>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</si>
  <si>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</si>
  <si>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</si>
  <si>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</si>
  <si>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</si>
  <si>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</si>
  <si>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</si>
  <si>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</si>
  <si>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</si>
  <si>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</si>
  <si>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</si>
  <si>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</si>
  <si>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</si>
  <si>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</si>
  <si>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</si>
  <si>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</si>
  <si>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</si>
  <si>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</si>
  <si>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</si>
  <si>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</si>
  <si>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</si>
  <si>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</si>
  <si>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</si>
  <si>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</si>
  <si>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</si>
  <si>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</si>
  <si>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</si>
  <si>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</si>
  <si>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</si>
  <si>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</si>
  <si>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</si>
  <si>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</si>
  <si>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</si>
  <si>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</si>
  <si>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</si>
  <si>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</si>
  <si>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</si>
  <si>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</si>
  <si>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</si>
  <si>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</si>
  <si>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</si>
  <si>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</si>
  <si>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</si>
  <si>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</si>
  <si>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</si>
  <si>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</si>
  <si>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</si>
  <si>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</si>
  <si>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</si>
  <si>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</si>
  <si>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</si>
  <si>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</si>
  <si>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</si>
  <si>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</si>
  <si>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</si>
  <si>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</si>
  <si>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</si>
  <si>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</si>
  <si>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</si>
  <si>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</si>
  <si>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</si>
  <si>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</si>
  <si>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</si>
  <si>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</si>
  <si>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</si>
  <si>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</si>
  <si>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</si>
  <si>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</si>
  <si>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</si>
  <si>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</si>
  <si>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</si>
  <si>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</si>
  <si>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</si>
  <si>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</si>
  <si>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</si>
  <si>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</si>
  <si>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</si>
  <si>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</si>
  <si>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</si>
  <si>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</si>
  <si>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</si>
  <si>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</si>
  <si>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</si>
  <si>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</si>
  <si>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</si>
  <si>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</si>
  <si>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</si>
  <si>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</si>
  <si>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</si>
  <si>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</si>
  <si>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</si>
  <si>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</si>
  <si>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</si>
  <si>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</si>
  <si>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</si>
  <si>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</si>
  <si>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</si>
  <si>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</si>
  <si>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</si>
  <si>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</si>
  <si>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</si>
  <si>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</si>
  <si>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</si>
  <si>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</si>
  <si>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</si>
  <si>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</si>
  <si>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</si>
  <si>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</si>
  <si>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</si>
  <si>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</si>
  <si>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</si>
  <si>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</si>
  <si>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</si>
  <si>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</si>
  <si>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</si>
  <si>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</si>
  <si>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</si>
  <si>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</si>
  <si>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</si>
  <si>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</si>
  <si>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</si>
  <si>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</si>
  <si>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</si>
  <si>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</si>
  <si>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</si>
  <si>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</si>
  <si>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</si>
  <si>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</si>
  <si>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</si>
  <si>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</si>
  <si>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</si>
  <si>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</si>
  <si>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</si>
  <si>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</si>
  <si>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</si>
  <si>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</si>
  <si>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</si>
  <si>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</si>
  <si>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</si>
  <si>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</si>
  <si>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</si>
  <si>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</si>
  <si>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</si>
  <si>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</si>
  <si>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</si>
  <si>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</si>
  <si>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</si>
  <si>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</si>
  <si>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</si>
  <si>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</si>
  <si>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</si>
  <si>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</si>
  <si>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</si>
  <si>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</si>
  <si>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</si>
  <si>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</si>
  <si>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</si>
  <si>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</si>
  <si>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</si>
  <si>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</si>
  <si>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</si>
  <si>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</si>
  <si>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</si>
  <si>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</si>
  <si>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</si>
  <si>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</si>
  <si>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</si>
  <si>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</si>
  <si>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</si>
  <si>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</si>
  <si>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</si>
  <si>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</si>
  <si>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</si>
  <si>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</si>
  <si>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</si>
  <si>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</si>
  <si>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</si>
  <si>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</si>
  <si>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</si>
  <si>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</si>
  <si>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</si>
  <si>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</si>
  <si>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</si>
  <si>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</si>
  <si>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</si>
  <si>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</si>
  <si>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</si>
  <si>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</si>
  <si>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</si>
  <si>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</si>
  <si>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</si>
  <si>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</si>
  <si>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</si>
  <si>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</si>
  <si>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</si>
  <si>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</si>
  <si>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</si>
  <si>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</si>
  <si>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</si>
  <si>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</si>
  <si>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</si>
  <si>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</si>
  <si>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</si>
  <si>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</si>
  <si>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</si>
  <si>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</si>
  <si>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</si>
  <si>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</si>
  <si>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</si>
  <si>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</si>
  <si>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</si>
  <si>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</si>
  <si>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</si>
  <si>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</si>
  <si>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</si>
  <si>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</si>
  <si>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</si>
  <si>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</si>
  <si>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</si>
  <si>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</si>
  <si>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</si>
  <si>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</si>
  <si>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</si>
  <si>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</si>
  <si>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</si>
  <si>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</si>
  <si>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</si>
  <si>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</si>
  <si>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</si>
  <si>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</si>
  <si>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</si>
  <si>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</si>
  <si>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</si>
  <si>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</si>
  <si>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</si>
  <si>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</si>
  <si>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</si>
  <si>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</si>
  <si>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</si>
  <si>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</si>
  <si>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</si>
  <si>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</si>
  <si>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</si>
  <si>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</si>
  <si>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</si>
  <si>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</si>
  <si>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</si>
  <si>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</si>
  <si>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</si>
  <si>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</si>
  <si>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</si>
  <si>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</si>
  <si>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</si>
  <si>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</si>
  <si>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</si>
  <si>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</si>
  <si>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</si>
  <si>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</si>
  <si>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</si>
  <si>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</si>
  <si>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</si>
  <si>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</si>
  <si>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</si>
  <si>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</si>
  <si>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</si>
  <si>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</si>
  <si>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</si>
  <si>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</si>
  <si>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</si>
  <si>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</si>
  <si>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</si>
  <si>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</si>
  <si>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</si>
  <si>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</si>
  <si>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</si>
  <si>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</si>
  <si>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</si>
  <si>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</si>
  <si>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</si>
  <si>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</si>
  <si>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</si>
  <si>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</si>
  <si>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</si>
  <si>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</si>
  <si>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</si>
  <si>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</si>
  <si>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</si>
  <si>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</si>
  <si>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</si>
  <si>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</si>
  <si>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</si>
  <si>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</si>
  <si>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</si>
  <si>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</si>
  <si>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</si>
  <si>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</si>
  <si>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</si>
  <si>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</si>
  <si>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</si>
  <si>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</si>
  <si>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</si>
  <si>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</si>
  <si>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</si>
  <si>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</si>
  <si>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</si>
  <si>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</si>
  <si>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</si>
  <si>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</si>
  <si>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</si>
  <si>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</si>
  <si>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</si>
  <si>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</si>
  <si>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</si>
  <si>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</si>
  <si>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</si>
  <si>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</si>
  <si>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</si>
  <si>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</si>
  <si>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</si>
  <si>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</si>
  <si>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</si>
  <si>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</si>
  <si>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</si>
  <si>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</si>
  <si>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</si>
  <si>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</si>
  <si>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</si>
  <si>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</si>
  <si>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</si>
  <si>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</si>
  <si>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</si>
  <si>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</si>
  <si>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</si>
  <si>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</si>
  <si>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</si>
  <si>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</si>
  <si>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</si>
  <si>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</si>
  <si>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</si>
  <si>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</si>
  <si>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</si>
  <si>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</si>
  <si>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</si>
  <si>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</si>
  <si>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</si>
  <si>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</si>
  <si>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</si>
  <si>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</si>
  <si>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</si>
  <si>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</si>
  <si>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</si>
  <si>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</si>
  <si>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</si>
  <si>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</si>
  <si>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</si>
  <si>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</si>
  <si>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</si>
  <si>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</si>
  <si>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</si>
  <si>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</si>
  <si>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</si>
  <si>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</si>
  <si>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</si>
  <si>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</si>
  <si>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</si>
  <si>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</si>
  <si>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</si>
  <si>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</si>
  <si>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</si>
  <si>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</si>
  <si>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</si>
  <si>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</si>
  <si>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</si>
  <si>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</si>
  <si>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</si>
  <si>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</si>
  <si>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</si>
  <si>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</si>
  <si>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</si>
  <si>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</si>
  <si>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</si>
  <si>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</si>
  <si>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</si>
  <si>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</si>
  <si>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</si>
  <si>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</si>
  <si>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</si>
  <si>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</si>
  <si>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</si>
  <si>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</si>
  <si>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</si>
  <si>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</si>
  <si>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</si>
  <si>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</si>
  <si>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</si>
  <si>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</si>
  <si>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</si>
  <si>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</si>
  <si>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</si>
  <si>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</si>
  <si>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</si>
  <si>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</si>
  <si>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</si>
  <si>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</si>
  <si>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</si>
  <si>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</si>
  <si>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</si>
  <si>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</si>
  <si>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</si>
  <si>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</si>
  <si>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</si>
  <si>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</si>
  <si>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</si>
  <si>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</si>
  <si>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</si>
  <si>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</si>
  <si>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</si>
  <si>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</si>
  <si>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</si>
  <si>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</si>
  <si>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</si>
  <si>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</si>
  <si>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</si>
  <si>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</si>
  <si>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</si>
  <si>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</si>
  <si>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</si>
  <si>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</si>
  <si>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</si>
  <si>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</si>
  <si>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</si>
  <si>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</si>
  <si>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</si>
  <si>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</si>
  <si>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</si>
  <si>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</si>
  <si>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</si>
  <si>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</si>
  <si>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</si>
  <si>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</si>
  <si>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</si>
  <si>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</si>
  <si>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</si>
  <si>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</si>
  <si>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</si>
  <si>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</si>
  <si>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</si>
  <si>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</si>
  <si>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</si>
  <si>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</si>
  <si>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</si>
  <si>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</si>
  <si>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</si>
  <si>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</si>
  <si>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</si>
  <si>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</si>
  <si>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</si>
  <si>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</si>
  <si>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</si>
  <si>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</si>
  <si>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</si>
  <si>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</si>
  <si>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</si>
  <si>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</si>
  <si>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</si>
  <si>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</si>
  <si>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</si>
  <si>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</si>
  <si>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</si>
  <si>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</si>
  <si>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</si>
  <si>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</si>
  <si>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</si>
  <si>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</si>
  <si>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</si>
  <si>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</si>
  <si>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</si>
  <si>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</si>
  <si>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</si>
  <si>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</si>
  <si>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</si>
  <si>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</si>
  <si>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</si>
  <si>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</si>
  <si>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</si>
  <si>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</si>
  <si>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</si>
  <si>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</si>
  <si>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</si>
  <si>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</si>
  <si>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</si>
  <si>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</si>
  <si>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</si>
  <si>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</si>
  <si>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</si>
  <si>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</si>
  <si>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</si>
  <si>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</si>
  <si>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</si>
  <si>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</si>
  <si>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</si>
  <si>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</si>
  <si>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</si>
  <si>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</si>
  <si>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</si>
  <si>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</si>
  <si>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</si>
  <si>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</si>
  <si>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</si>
  <si>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</si>
  <si>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</si>
  <si>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</si>
  <si>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</si>
  <si>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</si>
  <si>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</si>
  <si>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</si>
  <si>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</si>
  <si>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</si>
  <si>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</si>
  <si>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</si>
  <si>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</si>
  <si>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</si>
  <si>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</si>
  <si>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</si>
  <si>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</si>
  <si>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</si>
  <si>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</si>
  <si>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</si>
  <si>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</si>
  <si>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</si>
  <si>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</si>
  <si>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</si>
  <si>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</si>
  <si>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</si>
  <si>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</si>
  <si>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</si>
  <si>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</si>
  <si>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</si>
  <si>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</si>
  <si>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</si>
  <si>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</si>
  <si>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</si>
  <si>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</si>
  <si>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</si>
  <si>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</si>
  <si>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</si>
  <si>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</si>
  <si>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</si>
  <si>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</si>
  <si>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</si>
  <si>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</si>
  <si>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</si>
  <si>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</si>
  <si>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</si>
  <si>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</si>
  <si>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</si>
  <si>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</si>
  <si>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</si>
  <si>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</si>
  <si>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</si>
  <si>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</si>
  <si>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</si>
  <si>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</si>
  <si>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</si>
  <si>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</si>
  <si>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</si>
  <si>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</si>
  <si>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</si>
  <si>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</si>
  <si>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</si>
  <si>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</si>
  <si>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</si>
  <si>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</si>
  <si>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</si>
  <si>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</si>
  <si>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</si>
  <si>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</si>
  <si>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</si>
  <si>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</si>
  <si>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</si>
  <si>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</si>
  <si>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</si>
  <si>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</si>
  <si>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</si>
  <si>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</si>
  <si>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</si>
  <si>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</si>
  <si>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</si>
  <si>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</si>
  <si>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</si>
  <si>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</si>
  <si>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</si>
  <si>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</si>
  <si>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</si>
  <si>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</si>
  <si>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</si>
  <si>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</si>
  <si>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</si>
  <si>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</si>
  <si>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</si>
  <si>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</si>
  <si>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</si>
  <si>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</si>
  <si>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</si>
  <si>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</si>
  <si>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</si>
  <si>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</si>
  <si>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</si>
  <si>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</si>
  <si>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</si>
  <si>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</si>
  <si>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</si>
  <si>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</si>
  <si>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</si>
  <si>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</si>
  <si>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</si>
  <si>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</si>
  <si>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</si>
  <si>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</si>
  <si>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</si>
  <si>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</si>
  <si>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</si>
  <si>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</si>
  <si>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</si>
  <si>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</si>
  <si>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</si>
  <si>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</si>
  <si>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</si>
  <si>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</si>
  <si>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</si>
  <si>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</si>
  <si>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</si>
  <si>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</si>
  <si>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</si>
  <si>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</si>
  <si>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</si>
  <si>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</si>
  <si>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</si>
  <si>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</si>
  <si>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</si>
  <si>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</si>
  <si>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</si>
  <si>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</si>
  <si>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</si>
  <si>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</si>
  <si>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</si>
  <si>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</si>
  <si>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</si>
  <si>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</si>
  <si>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</si>
  <si>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</si>
  <si>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</si>
  <si>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</si>
  <si>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</si>
  <si>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</si>
  <si>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</si>
  <si>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</si>
  <si>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</si>
  <si>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</si>
  <si>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</si>
  <si>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</si>
  <si>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</si>
  <si>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</si>
  <si>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</si>
  <si>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</si>
  <si>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</si>
  <si>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</si>
  <si>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</si>
  <si>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</si>
  <si>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</si>
  <si>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</si>
  <si>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</si>
  <si>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</si>
  <si>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</si>
  <si>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</si>
  <si>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</si>
  <si>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</si>
  <si>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</si>
  <si>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</si>
  <si>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</si>
  <si>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</si>
  <si>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</si>
  <si>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</si>
  <si>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</si>
  <si>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</si>
  <si>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</si>
  <si>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</si>
  <si>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</si>
  <si>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</si>
  <si>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</si>
  <si>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</si>
  <si>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</si>
  <si>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</si>
  <si>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</si>
  <si>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</si>
  <si>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</si>
  <si>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</si>
  <si>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</si>
  <si>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</si>
  <si>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</si>
  <si>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</si>
  <si>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</si>
  <si>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</si>
  <si>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</si>
  <si>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</si>
  <si>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</si>
  <si>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</si>
  <si>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</si>
  <si>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</si>
  <si>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</si>
  <si>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</si>
  <si>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</si>
  <si>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</si>
  <si>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</si>
  <si>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</si>
  <si>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</si>
  <si>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</si>
  <si>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</si>
  <si>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</si>
  <si>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</si>
  <si>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</si>
  <si>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</si>
  <si>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</si>
  <si>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</si>
  <si>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</si>
  <si>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</si>
  <si>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</si>
  <si>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</si>
  <si>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</si>
  <si>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</si>
  <si>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</si>
  <si>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</si>
  <si>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</si>
  <si>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</si>
  <si>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</si>
  <si>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</si>
  <si>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</si>
  <si>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</si>
  <si>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</si>
  <si>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</si>
  <si>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</si>
  <si>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</si>
  <si>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</si>
  <si>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</si>
  <si>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</si>
  <si>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</si>
  <si>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</si>
  <si>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</si>
  <si>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</si>
  <si>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</si>
  <si>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</si>
  <si>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</si>
  <si>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</si>
  <si>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</si>
  <si>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</si>
  <si>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</si>
  <si>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</si>
  <si>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</si>
  <si>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</si>
  <si>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</si>
  <si>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</si>
  <si>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</si>
  <si>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</si>
  <si>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</si>
  <si>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</si>
  <si>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</si>
  <si>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</si>
  <si>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</si>
  <si>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</si>
  <si>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</si>
  <si>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</si>
  <si>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</si>
  <si>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</si>
  <si>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</si>
  <si>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</si>
  <si>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</si>
  <si>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</si>
  <si>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</si>
  <si>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</si>
  <si>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</si>
  <si>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</si>
  <si>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</si>
  <si>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</si>
  <si>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</si>
  <si>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</si>
  <si>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</si>
  <si>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</si>
  <si>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</si>
  <si>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</si>
  <si>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</si>
  <si>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</si>
  <si>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</si>
  <si>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</si>
  <si>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</si>
  <si>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</si>
  <si>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</si>
  <si>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</si>
  <si>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</si>
  <si>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</si>
  <si>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</si>
  <si>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</si>
  <si>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</si>
  <si>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</si>
  <si>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</si>
  <si>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</si>
  <si>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</si>
  <si>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</si>
  <si>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</si>
  <si>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</si>
  <si>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</si>
  <si>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</si>
  <si>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</si>
  <si>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</si>
  <si>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</si>
  <si>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</si>
  <si>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</si>
  <si>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</si>
  <si>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</si>
  <si>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</si>
  <si>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</si>
  <si>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</si>
  <si>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</si>
  <si>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</si>
  <si>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</si>
  <si>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</si>
  <si>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</si>
  <si>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</si>
  <si>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</si>
  <si>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</si>
  <si>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</si>
  <si>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</si>
  <si>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</si>
  <si>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</si>
  <si>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</si>
  <si>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</si>
  <si>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</si>
  <si>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</si>
  <si>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</si>
  <si>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</si>
  <si>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</si>
  <si>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</si>
  <si>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</si>
  <si>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</si>
  <si>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</si>
  <si>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</si>
  <si>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</si>
  <si>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</si>
  <si>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</si>
  <si>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</si>
  <si>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</si>
  <si>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</si>
  <si>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</si>
  <si>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</si>
  <si>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</si>
  <si>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</si>
  <si>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</si>
  <si>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</si>
  <si>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</si>
  <si>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</si>
  <si>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</si>
  <si>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</si>
  <si>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</si>
  <si>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</si>
  <si>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</si>
  <si>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</si>
  <si>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</si>
  <si>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</si>
  <si>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</si>
  <si>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</si>
  <si>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</si>
  <si>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</si>
  <si>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</si>
  <si>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</si>
  <si>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</si>
  <si>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</si>
  <si>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</si>
  <si>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</si>
  <si>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</si>
  <si>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</si>
  <si>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</si>
  <si>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</si>
  <si>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</si>
  <si>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</si>
  <si>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</si>
  <si>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</si>
  <si>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</si>
  <si>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</si>
  <si>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</si>
  <si>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</si>
  <si>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</si>
  <si>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</si>
  <si>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</si>
  <si>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</si>
  <si>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</si>
  <si>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</si>
  <si>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</si>
  <si>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</si>
  <si>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</si>
  <si>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</si>
  <si>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</si>
  <si>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</si>
  <si>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</si>
  <si>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</si>
  <si>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</si>
  <si>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</si>
  <si>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</si>
  <si>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</si>
  <si>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</si>
  <si>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</si>
  <si>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</si>
  <si>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</si>
  <si>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</si>
  <si>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</si>
  <si>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</si>
  <si>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</si>
  <si>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</si>
  <si>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</si>
  <si>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</si>
  <si>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</si>
  <si>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</si>
  <si>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</si>
  <si>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</si>
  <si>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</si>
  <si>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</si>
  <si>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</si>
  <si>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</si>
  <si>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</si>
  <si>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</si>
  <si>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</si>
  <si>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</si>
  <si>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</si>
  <si>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</si>
  <si>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</si>
  <si>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</si>
  <si>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</si>
  <si>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</si>
  <si>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</si>
  <si>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</si>
  <si>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</si>
  <si>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</si>
  <si>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</si>
  <si>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</si>
  <si>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</si>
  <si>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</si>
  <si>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</si>
  <si>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</si>
  <si>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</si>
  <si>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</si>
  <si>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</si>
  <si>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</si>
  <si>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</si>
  <si>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</si>
  <si>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</si>
  <si>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</si>
  <si>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</si>
  <si>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</si>
  <si>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</si>
  <si>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</si>
  <si>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</si>
  <si>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</si>
  <si>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</si>
  <si>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</si>
  <si>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</si>
  <si>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</si>
  <si>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</si>
  <si>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</si>
  <si>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</si>
  <si>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</si>
  <si>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</si>
  <si>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</si>
  <si>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</si>
  <si>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</si>
  <si>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</si>
  <si>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</si>
  <si>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</si>
  <si>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</si>
  <si>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</si>
  <si>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</si>
  <si>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</si>
  <si>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</si>
  <si>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</si>
  <si>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</si>
  <si>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</si>
  <si>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</si>
  <si>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</si>
  <si>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</si>
  <si>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</si>
  <si>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</si>
  <si>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</si>
  <si>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</si>
  <si>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</si>
  <si>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</si>
  <si>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</si>
  <si>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</si>
  <si>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</si>
  <si>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</si>
  <si>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</si>
  <si>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</si>
  <si>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</si>
  <si>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</si>
  <si>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</si>
  <si>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</si>
  <si>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</si>
  <si>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</si>
  <si>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</si>
  <si>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</si>
  <si>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</si>
  <si>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</si>
  <si>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</si>
  <si>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</si>
  <si>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</si>
  <si>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</si>
  <si>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</si>
  <si>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</si>
  <si>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</si>
  <si>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</si>
  <si>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</si>
  <si>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</si>
  <si>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</si>
  <si>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</si>
  <si>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</si>
  <si>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</si>
  <si>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</si>
  <si>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</si>
  <si>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</si>
  <si>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</si>
  <si>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</si>
  <si>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</si>
  <si>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</si>
  <si>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</si>
  <si>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</si>
  <si>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</si>
  <si>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</si>
  <si>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</si>
  <si>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</si>
  <si>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</si>
  <si>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</si>
  <si>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</si>
  <si>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</si>
  <si>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</si>
  <si>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</si>
  <si>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</si>
  <si>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</si>
  <si>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</si>
  <si>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</si>
  <si>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</si>
  <si>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</si>
  <si>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</si>
  <si>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</si>
  <si>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</si>
  <si>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</si>
  <si>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</si>
  <si>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</si>
  <si>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</si>
  <si>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</si>
  <si>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</si>
  <si>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</si>
  <si>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</si>
  <si>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</si>
  <si>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</si>
  <si>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</si>
  <si>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</si>
  <si>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</si>
  <si>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</si>
  <si>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</si>
  <si>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</si>
  <si>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</si>
  <si>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</si>
  <si>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</si>
  <si>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</si>
  <si>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</si>
  <si>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</si>
  <si>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</si>
  <si>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</si>
  <si>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</si>
  <si>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</si>
  <si>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</si>
  <si>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</si>
  <si>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</si>
  <si>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</si>
  <si>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</si>
  <si>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</si>
  <si>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</si>
  <si>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</si>
  <si>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</si>
  <si>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</si>
  <si>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</si>
  <si>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</si>
  <si>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</si>
  <si>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</si>
  <si>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</si>
  <si>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</si>
  <si>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</si>
  <si>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</si>
  <si>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</si>
  <si>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</si>
  <si>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</si>
  <si>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</si>
  <si>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</si>
  <si>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</si>
  <si>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</si>
  <si>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</si>
  <si>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</si>
  <si>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</si>
  <si>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</si>
  <si>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</si>
  <si>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</si>
  <si>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</si>
  <si>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</si>
  <si>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</si>
  <si>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</si>
  <si>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</si>
  <si>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</si>
  <si>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</si>
  <si>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</si>
  <si>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</si>
  <si>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</si>
  <si>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</si>
  <si>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</si>
  <si>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</si>
  <si>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</si>
  <si>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</si>
  <si>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</si>
  <si>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</si>
  <si>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</si>
  <si>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</si>
  <si>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</si>
  <si>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</si>
  <si>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</si>
  <si>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</si>
  <si>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</si>
  <si>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</si>
  <si>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</si>
  <si>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</si>
  <si>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</si>
  <si>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</si>
  <si>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</si>
  <si>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</si>
  <si>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</si>
  <si>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</si>
  <si>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</si>
  <si>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</si>
  <si>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</si>
  <si>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</si>
  <si>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</si>
  <si>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</si>
  <si>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</si>
  <si>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</si>
  <si>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</si>
  <si>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</si>
  <si>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</si>
  <si>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</si>
  <si>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</si>
  <si>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</si>
  <si>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</si>
  <si>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</si>
  <si>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</si>
  <si>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</si>
  <si>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</si>
  <si>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</si>
  <si>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</si>
  <si>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</si>
  <si>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</si>
  <si>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</si>
  <si>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</si>
  <si>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</si>
  <si>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</si>
  <si>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</si>
  <si>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</si>
  <si>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</si>
  <si>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</si>
  <si>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</si>
  <si>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</si>
  <si>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</si>
  <si>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</si>
  <si>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</si>
  <si>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</si>
  <si>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</si>
  <si>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</si>
  <si>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</si>
  <si>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</si>
  <si>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</si>
  <si>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</si>
  <si>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</si>
  <si>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</si>
  <si>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</si>
  <si>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</si>
  <si>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</si>
  <si>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</si>
  <si>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</si>
  <si>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</si>
  <si>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</si>
  <si>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</si>
  <si>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</si>
  <si>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</si>
  <si>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</si>
  <si>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</si>
  <si>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</si>
  <si>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</si>
  <si>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</si>
  <si>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</si>
  <si>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</si>
  <si>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</si>
  <si>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</si>
  <si>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</si>
  <si>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</si>
  <si>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</si>
  <si>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</si>
  <si>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</si>
  <si>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</si>
  <si>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</si>
  <si>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</si>
  <si>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</si>
  <si>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</si>
  <si>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</si>
  <si>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</si>
  <si>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</si>
  <si>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</si>
  <si>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</si>
  <si>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</si>
  <si>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</si>
  <si>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</si>
  <si>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</si>
  <si>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</si>
  <si>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</si>
  <si>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</si>
  <si>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</si>
  <si>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</si>
  <si>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</si>
  <si>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</si>
  <si>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</si>
  <si>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</si>
  <si>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</si>
  <si>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</si>
  <si>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</si>
  <si>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</si>
  <si>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</si>
  <si>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</si>
  <si>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</si>
  <si>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</si>
  <si>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</si>
  <si>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</si>
  <si>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</si>
  <si>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</si>
  <si>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</si>
  <si>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</si>
  <si>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</si>
  <si>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</si>
  <si>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</si>
  <si>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</si>
  <si>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</si>
  <si>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</si>
  <si>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</si>
  <si>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</si>
  <si>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</si>
  <si>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</si>
  <si>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</si>
  <si>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</si>
  <si>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</si>
  <si>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</si>
  <si>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</si>
  <si>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</si>
  <si>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</si>
  <si>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</si>
  <si>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</si>
  <si>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</si>
  <si>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</si>
  <si>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</si>
  <si>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</si>
  <si>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</si>
  <si>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</si>
  <si>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</si>
  <si>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</si>
  <si>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</si>
  <si>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</si>
  <si>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</si>
  <si>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</si>
  <si>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</si>
  <si>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</si>
  <si>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</si>
  <si>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</si>
  <si>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</si>
  <si>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</si>
  <si>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</si>
  <si>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</si>
  <si>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</si>
  <si>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</si>
  <si>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</si>
  <si>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</si>
  <si>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</si>
  <si>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</si>
  <si>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</si>
  <si>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</si>
  <si>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</si>
  <si>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</si>
  <si>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</si>
  <si>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</si>
  <si>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</si>
  <si>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</si>
  <si>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</si>
  <si>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</si>
  <si>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</si>
  <si>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</si>
  <si>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</si>
  <si>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</si>
  <si>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</si>
  <si>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</si>
  <si>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</si>
  <si>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</si>
  <si>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</si>
  <si>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</si>
  <si>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</si>
  <si>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</si>
  <si>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</si>
  <si>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</si>
  <si>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</si>
  <si>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</si>
  <si>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</si>
  <si>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</si>
  <si>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</si>
  <si>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</si>
  <si>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</si>
  <si>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</si>
  <si>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</si>
  <si>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</si>
  <si>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</si>
  <si>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</si>
  <si>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</si>
  <si>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</si>
  <si>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</si>
  <si>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</si>
  <si>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</si>
  <si>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</si>
  <si>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</si>
  <si>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</si>
  <si>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</si>
  <si>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</si>
  <si>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</si>
  <si>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</si>
  <si>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</si>
  <si>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</si>
  <si>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</si>
  <si>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</si>
  <si>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</si>
  <si>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</si>
  <si>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</si>
  <si>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</si>
  <si>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</si>
  <si>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</si>
  <si>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</si>
  <si>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</si>
  <si>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</si>
  <si>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</si>
  <si>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</si>
  <si>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</si>
  <si>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</si>
  <si>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</si>
  <si>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</si>
  <si>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</si>
  <si>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</si>
  <si>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</si>
  <si>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</si>
  <si>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</si>
  <si>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</si>
  <si>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</si>
  <si>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</si>
  <si>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</si>
  <si>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</si>
  <si>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</si>
  <si>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</si>
  <si>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</si>
  <si>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</si>
  <si>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</si>
  <si>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</si>
  <si>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</si>
  <si>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</si>
  <si>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</si>
  <si>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</si>
  <si>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</si>
  <si>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</si>
  <si>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</si>
  <si>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</si>
  <si>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</si>
  <si>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</si>
  <si>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</si>
  <si>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</si>
  <si>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</si>
  <si>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</si>
  <si>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</si>
  <si>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</si>
  <si>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</si>
  <si>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</si>
  <si>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</si>
  <si>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</si>
  <si>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</si>
  <si>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</si>
  <si>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</si>
  <si>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</si>
  <si>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</si>
  <si>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</si>
  <si>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</si>
  <si>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</si>
  <si>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</si>
  <si>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</si>
  <si>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</si>
  <si>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</si>
  <si>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</si>
  <si>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</si>
  <si>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</si>
  <si>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</si>
  <si>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</si>
  <si>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</si>
  <si>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</si>
  <si>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</si>
  <si>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</si>
  <si>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</si>
  <si>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</si>
  <si>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</si>
  <si>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</si>
  <si>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</si>
  <si>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</si>
  <si>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</si>
  <si>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</si>
  <si>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</si>
  <si>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</si>
  <si>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</si>
  <si>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</si>
  <si>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</si>
  <si>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</si>
  <si>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</si>
  <si>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</si>
  <si>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</si>
  <si>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</si>
  <si>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</si>
  <si>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</si>
  <si>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</si>
  <si>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</si>
  <si>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</si>
  <si>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</si>
  <si>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</si>
  <si>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</si>
  <si>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</si>
  <si>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</si>
  <si>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</si>
  <si>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</si>
  <si>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</si>
  <si>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</si>
  <si>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</si>
  <si>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</si>
  <si>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</si>
  <si>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</si>
  <si>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</si>
  <si>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</si>
  <si>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</si>
  <si>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</si>
  <si>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</si>
  <si>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</si>
  <si>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</si>
  <si>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</si>
  <si>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</si>
  <si>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</si>
  <si>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</si>
  <si>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</si>
  <si>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</si>
  <si>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</si>
  <si>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</si>
  <si>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</si>
  <si>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</si>
  <si>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</si>
  <si>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</si>
  <si>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</si>
  <si>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</si>
  <si>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</si>
  <si>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</si>
  <si>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</si>
  <si>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</si>
  <si>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</si>
  <si>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</si>
  <si>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</si>
  <si>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</si>
  <si>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</si>
  <si>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</si>
  <si>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</si>
  <si>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</si>
  <si>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</si>
  <si>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</si>
  <si>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</si>
  <si>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</si>
  <si>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</si>
  <si>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</si>
  <si>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</si>
  <si>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</si>
  <si>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</si>
  <si>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</si>
  <si>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</si>
  <si>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</si>
  <si>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</si>
  <si>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</si>
  <si>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</si>
  <si>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</si>
  <si>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</si>
  <si>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</si>
  <si>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</si>
  <si>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</si>
  <si>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</si>
  <si>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</si>
  <si>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</si>
  <si>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</si>
  <si>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</si>
  <si>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</si>
  <si>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</si>
  <si>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</si>
  <si>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</si>
  <si>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</si>
  <si>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</si>
  <si>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</si>
  <si>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</si>
  <si>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</si>
  <si>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</si>
  <si>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</si>
  <si>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</si>
  <si>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</si>
  <si>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</si>
  <si>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</si>
  <si>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</si>
  <si>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</si>
  <si>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</si>
  <si>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</si>
  <si>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</si>
  <si>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</si>
  <si>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</si>
  <si>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</si>
  <si>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</si>
  <si>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</si>
  <si>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</si>
  <si>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</si>
  <si>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</si>
  <si>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</si>
  <si>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</si>
  <si>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</si>
  <si>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</si>
  <si>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</si>
  <si>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</si>
  <si>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</si>
  <si>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</si>
  <si>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</si>
  <si>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</si>
  <si>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</si>
  <si>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</si>
  <si>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</si>
  <si>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</si>
  <si>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</si>
  <si>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</si>
  <si>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</si>
  <si>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</si>
  <si>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</si>
  <si>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</si>
  <si>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</si>
  <si>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</si>
  <si>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</si>
  <si>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</si>
  <si>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</si>
  <si>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</si>
  <si>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</si>
  <si>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</si>
  <si>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</si>
  <si>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</si>
  <si>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</si>
  <si>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</si>
  <si>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</si>
  <si>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</si>
  <si>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</si>
  <si>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</si>
  <si>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</si>
  <si>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</si>
  <si>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</si>
  <si>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</si>
  <si>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</si>
  <si>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</si>
  <si>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</si>
  <si>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</si>
  <si>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</si>
  <si>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</si>
  <si>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</si>
  <si>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</si>
  <si>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</si>
  <si>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</si>
  <si>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</si>
  <si>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</si>
  <si>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</si>
  <si>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</si>
  <si>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</si>
  <si>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</si>
  <si>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</si>
  <si>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</si>
  <si>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</si>
  <si>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</si>
  <si>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</si>
  <si>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</si>
  <si>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</si>
  <si>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</si>
  <si>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</si>
  <si>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</si>
  <si>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</si>
  <si>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</si>
  <si>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</si>
  <si>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</si>
  <si>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</si>
  <si>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</si>
  <si>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</si>
  <si>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</si>
  <si>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</si>
  <si>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</si>
  <si>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</si>
  <si>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</si>
  <si>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</si>
  <si>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</si>
  <si>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</si>
  <si>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</si>
  <si>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</si>
  <si>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</si>
  <si>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</si>
  <si>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</si>
  <si>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</si>
  <si>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</si>
  <si>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</si>
  <si>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</si>
  <si>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</si>
  <si>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</si>
  <si>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</si>
  <si>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</si>
  <si>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</si>
  <si>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</si>
  <si>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</si>
  <si>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</si>
  <si>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</si>
  <si>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</si>
  <si>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</si>
  <si>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</si>
  <si>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</si>
  <si>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</si>
  <si>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</si>
  <si>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</si>
  <si>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</si>
  <si>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</si>
  <si>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</si>
  <si>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</si>
  <si>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</si>
  <si>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</si>
  <si>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</si>
  <si>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</si>
  <si>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</si>
  <si>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</si>
  <si>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</si>
  <si>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</si>
  <si>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</si>
  <si>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</si>
  <si>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</si>
  <si>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</si>
  <si>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</si>
  <si>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</si>
  <si>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</si>
  <si>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</si>
  <si>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</si>
  <si>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</si>
  <si>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</si>
  <si>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</si>
  <si>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</si>
  <si>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</si>
  <si>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</si>
  <si>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</si>
  <si>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</si>
  <si>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</si>
  <si>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</si>
  <si>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</si>
  <si>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</si>
  <si>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</si>
  <si>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</si>
  <si>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</si>
  <si>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</si>
  <si>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</si>
  <si>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</si>
  <si>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</si>
  <si>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</si>
  <si>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</si>
  <si>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</si>
  <si>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</si>
  <si>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</si>
  <si>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</si>
  <si>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</si>
  <si>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</si>
  <si>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</si>
  <si>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</si>
  <si>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</si>
  <si>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</si>
  <si>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</si>
  <si>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</si>
  <si>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</si>
  <si>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</si>
  <si>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</si>
  <si>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</si>
  <si>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</si>
  <si>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</si>
  <si>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</si>
  <si>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</si>
  <si>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</si>
  <si>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</si>
  <si>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</si>
  <si>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</si>
  <si>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</si>
  <si>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</si>
  <si>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</si>
  <si>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</si>
  <si>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</si>
  <si>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</si>
  <si>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</si>
  <si>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</si>
  <si>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</si>
  <si>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</si>
  <si>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</si>
  <si>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</si>
  <si>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</si>
  <si>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</si>
  <si>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</si>
  <si>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</si>
  <si>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</si>
  <si>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</si>
  <si>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</si>
  <si>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</si>
  <si>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</si>
  <si>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</si>
  <si>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</si>
  <si>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</si>
  <si>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</si>
  <si>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</si>
  <si>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</si>
  <si>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</si>
  <si>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</si>
  <si>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</si>
  <si>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</si>
  <si>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</si>
  <si>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</si>
  <si>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</si>
  <si>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</si>
  <si>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</si>
  <si>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</si>
  <si>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</si>
  <si>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</si>
  <si>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</si>
  <si>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</si>
  <si>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</si>
  <si>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</si>
  <si>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</si>
  <si>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</si>
  <si>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</si>
  <si>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</si>
  <si>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</si>
  <si>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</si>
  <si>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</si>
  <si>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</si>
  <si>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</si>
  <si>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</si>
  <si>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</si>
  <si>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</si>
  <si>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</si>
  <si>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</si>
  <si>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</si>
  <si>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</si>
  <si>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</si>
  <si>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</si>
  <si>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</si>
  <si>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</si>
  <si>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</si>
  <si>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</si>
  <si>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</si>
  <si>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</si>
  <si>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</si>
  <si>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</si>
  <si>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</si>
  <si>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</si>
  <si>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</si>
  <si>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</si>
  <si>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</si>
  <si>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</si>
  <si>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</si>
  <si>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</si>
  <si>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</si>
  <si>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</si>
  <si>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</si>
  <si>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</si>
  <si>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</si>
  <si>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</si>
  <si>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</si>
  <si>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</si>
  <si>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</si>
  <si>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</si>
  <si>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</si>
  <si>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</si>
  <si>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</si>
  <si>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</si>
  <si>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</si>
  <si>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</si>
  <si>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</si>
  <si>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</si>
  <si>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</si>
  <si>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</si>
  <si>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</si>
  <si>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</si>
  <si>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</si>
  <si>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</si>
  <si>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</si>
  <si>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</si>
  <si>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</si>
  <si>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</si>
  <si>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</si>
  <si>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</si>
  <si>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</si>
  <si>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</si>
  <si>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</si>
  <si>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</si>
  <si>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</si>
  <si>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</si>
  <si>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</si>
  <si>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</si>
  <si>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</si>
  <si>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</si>
  <si>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</si>
  <si>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</si>
  <si>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</si>
  <si>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</si>
  <si>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</si>
  <si>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</si>
  <si>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</si>
  <si>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</si>
  <si>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</si>
  <si>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</si>
  <si>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</si>
  <si>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</si>
  <si>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</si>
  <si>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</si>
  <si>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</si>
  <si>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</si>
  <si>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</si>
  <si>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</si>
  <si>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</si>
  <si>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</si>
  <si>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</si>
  <si>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</si>
  <si>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</si>
  <si>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</si>
  <si>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</si>
  <si>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</si>
  <si>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</si>
  <si>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</si>
  <si>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</si>
  <si>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</si>
  <si>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</si>
  <si>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</si>
  <si>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</si>
  <si>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</si>
  <si>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</si>
  <si>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</si>
  <si>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</si>
  <si>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</si>
  <si>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</si>
  <si>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</si>
  <si>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</si>
  <si>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</si>
  <si>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</si>
  <si>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</si>
  <si>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</si>
  <si>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</si>
  <si>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</si>
  <si>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</si>
  <si>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</si>
  <si>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</si>
  <si>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</si>
  <si>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</si>
  <si>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</si>
  <si>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</si>
  <si>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</si>
  <si>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</si>
  <si>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</si>
  <si>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</si>
  <si>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</si>
  <si>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</si>
  <si>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</si>
  <si>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</si>
  <si>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</si>
  <si>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</si>
  <si>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</si>
  <si>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</si>
  <si>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</si>
  <si>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</si>
  <si>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</si>
  <si>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</si>
  <si>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</si>
  <si>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</si>
  <si>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</si>
  <si>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</si>
  <si>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</si>
  <si>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</si>
  <si>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</si>
  <si>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</si>
  <si>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</si>
  <si>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</si>
  <si>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</si>
  <si>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</si>
  <si>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</si>
  <si>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</si>
  <si>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</si>
  <si>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</si>
  <si>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</si>
  <si>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</si>
  <si>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</si>
  <si>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</si>
  <si>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</si>
  <si>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</si>
  <si>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</si>
  <si>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</si>
  <si>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</si>
  <si>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</si>
  <si>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</si>
  <si>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</si>
  <si>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</si>
  <si>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</si>
  <si>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</si>
  <si>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</si>
  <si>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</si>
  <si>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</si>
  <si>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</si>
  <si>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</si>
  <si>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</si>
  <si>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</si>
  <si>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</si>
  <si>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</si>
  <si>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</si>
  <si>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</si>
  <si>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</si>
  <si>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</si>
  <si>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</si>
  <si>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</si>
  <si>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</si>
  <si>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</si>
  <si>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</si>
  <si>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</si>
  <si>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</si>
  <si>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</si>
  <si>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</si>
  <si>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</si>
  <si>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</si>
  <si>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</si>
  <si>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</si>
  <si>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</si>
  <si>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</si>
  <si>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</si>
  <si>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</si>
  <si>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</si>
  <si>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</si>
  <si>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</si>
  <si>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</si>
  <si>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</si>
  <si>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</si>
  <si>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</si>
  <si>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</si>
  <si>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</si>
  <si>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</si>
  <si>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</si>
  <si>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</si>
  <si>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</si>
  <si>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</si>
  <si>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</si>
  <si>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</si>
  <si>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</si>
  <si>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</si>
  <si>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</si>
  <si>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</si>
  <si>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</si>
  <si>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</si>
  <si>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</si>
  <si>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</si>
  <si>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</si>
  <si>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</si>
  <si>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</si>
  <si>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</si>
  <si>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</si>
  <si>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</si>
  <si>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</si>
  <si>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</si>
  <si>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</si>
  <si>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</si>
  <si>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</si>
  <si>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</si>
  <si>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</si>
  <si>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</si>
  <si>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</si>
  <si>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</si>
  <si>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</si>
  <si>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</si>
  <si>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</si>
  <si>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</si>
  <si>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</si>
  <si>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</si>
  <si>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</si>
  <si>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</si>
  <si>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</si>
  <si>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</si>
  <si>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</si>
  <si>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</si>
  <si>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</si>
  <si>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</si>
  <si>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</si>
  <si>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</si>
  <si>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</si>
  <si>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</si>
  <si>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</si>
  <si>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</si>
  <si>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</si>
  <si>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</si>
  <si>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</si>
  <si>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</si>
  <si>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</si>
  <si>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</si>
  <si>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</si>
  <si>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</si>
  <si>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</si>
  <si>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</si>
  <si>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</si>
  <si>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</si>
  <si>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</si>
  <si>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</si>
  <si>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</si>
  <si>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</si>
  <si>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</si>
  <si>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</si>
  <si>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</si>
  <si>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</si>
  <si>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</si>
  <si>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</si>
  <si>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</si>
  <si>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</si>
  <si>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</si>
  <si>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</si>
  <si>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</si>
  <si>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</si>
  <si>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</si>
  <si>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</si>
  <si>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</si>
  <si>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</si>
  <si>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</si>
  <si>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</si>
  <si>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</si>
  <si>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</si>
  <si>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</si>
  <si>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</si>
  <si>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</si>
  <si>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</si>
  <si>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</si>
  <si>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</si>
  <si>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</si>
  <si>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</si>
  <si>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</si>
  <si>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</si>
  <si>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</si>
  <si>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</si>
  <si>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</si>
  <si>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</si>
  <si>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</si>
  <si>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</si>
  <si>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</si>
  <si>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</si>
  <si>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</si>
  <si>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</si>
  <si>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</si>
  <si>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</si>
  <si>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</si>
  <si>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</si>
  <si>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</si>
  <si>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</si>
  <si>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</si>
  <si>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</si>
  <si>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</si>
  <si>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</si>
  <si>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</si>
  <si>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</si>
  <si>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</si>
  <si>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</si>
  <si>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</si>
  <si>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</si>
  <si>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</si>
  <si>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</si>
  <si>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</si>
  <si>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</si>
  <si>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</si>
  <si>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</si>
  <si>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</si>
  <si>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</si>
  <si>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</si>
  <si>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</si>
  <si>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</si>
  <si>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</si>
  <si>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</si>
  <si>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</si>
  <si>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</si>
  <si>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</si>
  <si>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</si>
  <si>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</si>
  <si>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</si>
  <si>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</si>
  <si>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</si>
  <si>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</si>
  <si>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</si>
  <si>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</si>
  <si>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</si>
  <si>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</si>
  <si>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</si>
  <si>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</si>
  <si>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</si>
  <si>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</si>
  <si>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</si>
  <si>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</si>
  <si>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</si>
  <si>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</si>
  <si>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</si>
  <si>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</si>
  <si>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</si>
  <si>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</si>
  <si>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</si>
  <si>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</si>
  <si>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</si>
  <si>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</si>
  <si>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</si>
  <si>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</si>
  <si>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</si>
  <si>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</si>
  <si>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</si>
  <si>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</si>
  <si>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</si>
  <si>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</si>
  <si>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</si>
  <si>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</si>
  <si>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</si>
  <si>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</si>
  <si>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</si>
  <si>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</si>
  <si>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</si>
  <si>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</si>
  <si>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</si>
  <si>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</si>
  <si>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</si>
  <si>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</si>
  <si>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</si>
  <si>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</si>
  <si>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</si>
  <si>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</si>
  <si>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</si>
  <si>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</si>
  <si>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</si>
  <si>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</si>
  <si>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</si>
  <si>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</si>
  <si>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</si>
  <si>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</si>
  <si>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</si>
  <si>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</si>
  <si>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</si>
  <si>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</si>
  <si>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</si>
  <si>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</si>
  <si>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</si>
  <si>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</si>
  <si>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</si>
  <si>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</si>
  <si>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</si>
  <si>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</si>
  <si>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</si>
  <si>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</si>
  <si>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</si>
  <si>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</si>
  <si>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</si>
  <si>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</si>
  <si>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</si>
  <si>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</si>
  <si>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</si>
  <si>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</si>
  <si>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</si>
  <si>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</si>
  <si>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</si>
  <si>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</si>
  <si>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</si>
  <si>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</si>
  <si>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</si>
  <si>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</si>
  <si>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</si>
  <si>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</si>
  <si>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</si>
  <si>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</si>
  <si>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</si>
  <si>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</si>
  <si>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</si>
  <si>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</si>
  <si>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</si>
  <si>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</si>
  <si>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</si>
  <si>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</si>
  <si>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RERO AG</t>
  </si>
  <si>
    <t>Metallveredelung</t>
  </si>
  <si>
    <t>Hauptstrasse 96, CH-4437 Waldenburg</t>
  </si>
  <si>
    <t>Thomas Tschopp</t>
  </si>
  <si>
    <t>thomas.tschopp@rero-ag.ch</t>
  </si>
  <si>
    <t>+41 61 965 95 07</t>
  </si>
  <si>
    <t>Jochen Hilbert</t>
  </si>
  <si>
    <t>Qualitätsmanagementbeauftragter</t>
  </si>
  <si>
    <t>jochen.hilbert@rero-ag.ch</t>
  </si>
  <si>
    <t>+41 61 965 95 32</t>
  </si>
  <si>
    <t>100%</t>
  </si>
  <si>
    <t>https://rero-ag.ch/downloads</t>
  </si>
  <si>
    <t>RERO AG Supplier: Metalor Technologies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</si>
</sst>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71" fontId="17" fillId="45" borderId="31" xfId="0" applyNumberFormat="1" applyFont="1" applyFill="1" applyBorder="1" applyAlignment="1" applyProtection="1">
      <alignment horizontal="left" wrapText="1"/>
      <protection locked="0"/>
    </xf>
    <xf numFmtId="171"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14" fillId="45" borderId="56" xfId="831" applyFill="1" applyBorder="1" applyAlignment="1" applyProtection="1">
      <alignment horizontal="left" vertical="center" wrapText="1"/>
      <protection locked="0"/>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1695826</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745287</xdr:colOff>
      <xdr:row>2</xdr:row>
      <xdr:rowOff>1128664</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rero-ag.ch/downloads" TargetMode="External"/><Relationship Id="rId2" Type="http://schemas.openxmlformats.org/officeDocument/2006/relationships/hyperlink" Target="mailto:jochen.hilbert@rero-ag.ch" TargetMode="External"/><Relationship Id="rId1" Type="http://schemas.openxmlformats.org/officeDocument/2006/relationships/hyperlink" Target="mailto:thomas.tschopp@rero-ag.ch"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13" workbookViewId="0">
      <selection activeCell="B3" sqref="B3"/>
    </sheetView>
  </sheetViews>
  <sheetFormatPr baseColWidth="10" defaultColWidth="9" defaultRowHeight="12.4"/>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4.65">
      <c r="A2" s="94" t="str">
        <f ca="1">OFFSET(L!$C$1,MATCH("Instructions"&amp;ADDRESS(ROW(),COLUMN(),4),L!$A:$A,0)-1,SL,,)</f>
        <v>Einführung</v>
      </c>
      <c r="B2" s="179"/>
    </row>
    <row r="3" spans="1:2" ht="168.75" customHeight="1">
      <c r="A3" s="93"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79"/>
    </row>
    <row r="4" spans="1:2" ht="16.5" customHeight="1">
      <c r="A4" s="218"/>
      <c r="B4" s="179"/>
    </row>
    <row r="5" spans="1:2" ht="42" customHeight="1">
      <c r="A5" s="219" t="str">
        <f ca="1">OFFSET(L!$C$1,MATCH("Instructions"&amp;ADDRESS(ROW(),COLUMN(),4),L!$A:$A,0)-1,SL,,)</f>
        <v>Anleitung zum Ausfüllen von Informationen zu Unternehmen (Zeilen 7 - 26).  Die Kommentare nur in englischer Sprache.</v>
      </c>
      <c r="B5" s="179"/>
    </row>
    <row r="6" spans="1:2" ht="35.25" customHeight="1">
      <c r="A6" s="94" t="str">
        <f ca="1">OFFSET(L!$C$1,MATCH("Instructions"&amp;ADDRESS(ROW(),COLUMN(),4),L!$A:$A,0)-1,SL,,)</f>
        <v>Hinweis: Eingaben mit (*) sind Pflichtfelder</v>
      </c>
      <c r="B6" s="179"/>
    </row>
    <row r="7" spans="1:2" ht="48" customHeight="1">
      <c r="A7" s="197" t="str">
        <f ca="1">OFFSET(L!$C$1,MATCH("Instructions"&amp;ADDRESS(ROW(),COLUMN(),4),L!$A:$A,0)-1,SL,,)</f>
        <v>1. Geben Sie hier den rechtmäßigen Firmennamen Ihres Unternehmens ein. Bitte verwenden Sie keine Abkürzungen. In diesem Feld haben Sie die Möglichkeit, weitere Geschäftsnamen, DBAs usw. hinzuzufügen.</v>
      </c>
      <c r="B7" s="179"/>
    </row>
    <row r="8" spans="1:2" ht="292.5">
      <c r="A8" s="197"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v>
      </c>
      <c r="B8" s="179"/>
    </row>
    <row r="9" spans="1:2" ht="73.150000000000006">
      <c r="A9" s="197" t="str">
        <f ca="1">OFFSET(L!$C$1,MATCH("Instructions"&amp;ADDRESS(ROW(),COLUMN(),4),L!$A:$A,0)-1,SL,,)</f>
        <v>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v>
      </c>
      <c r="B9" s="179"/>
    </row>
    <row r="10" spans="1:2" ht="34.5" customHeight="1">
      <c r="A10" s="93" t="str">
        <f ca="1">OFFSET(L!$C$1,MATCH("Instructions"&amp;ADDRESS(ROW(),COLUMN(),4),L!$A:$A,0)-1,SL,,)</f>
        <v>4. Geben sie ihre eindeutige Firmenidentifikationsnummer (DUNS Nummer, Steuernummer, Kunden-spezifische Kennung, etc.) ein</v>
      </c>
      <c r="B10" s="179"/>
    </row>
    <row r="11" spans="1:2" ht="20.25" customHeight="1">
      <c r="A11" s="93" t="str">
        <f ca="1">OFFSET(L!$C$1,MATCH("Instructions"&amp;ADDRESS(ROW(),COLUMN(),4),L!$A:$A,0)-1,SL,,)</f>
        <v>5. Geben Sie die Quelle für die eindeutige Kennung oder Code ( "DUNS",  "MWST","Kunde", etc. ) an.</v>
      </c>
      <c r="B11" s="179"/>
    </row>
    <row r="12" spans="1:2" ht="20.25" customHeight="1">
      <c r="A12" s="93" t="str">
        <f ca="1">OFFSET(L!$C$1,MATCH("Instructions"&amp;ADDRESS(ROW(),COLUMN(),4),L!$A:$A,0)-1,SL,,)</f>
        <v>6. Geben Sie Ihre vollständige Firmenanschrift an (Straße, Stadt, Postleitzahl,  Bundesland).  Dieses Feld ist optional.</v>
      </c>
      <c r="B12" s="179"/>
    </row>
    <row r="13" spans="1:2" ht="35.25" customHeight="1">
      <c r="A13" s="93" t="str">
        <f ca="1">OFFSET(L!$C$1,MATCH("Instructions"&amp;ADDRESS(ROW(),COLUMN(),4),L!$A:$A,0)-1,SL,,)</f>
        <v>7. Geben Sie den Namen der Kontaktperson zum Inhalt der Erklärung an. Dies ist ein obligatorisches Feld.</v>
      </c>
      <c r="B13" s="179"/>
    </row>
    <row r="14" spans="1:2" ht="33" customHeight="1">
      <c r="A14" s="93" t="str">
        <f ca="1">OFFSET(L!$C$1,MATCH("Instructions"&amp;ADDRESS(ROW(),COLUMN(),4),L!$A:$A,0)-1,SL,,)</f>
        <v>8. Geben Sie die E mail-Adresse der Kontaktperson an. Wenn eine E- mail-adresse nicht verfügbar ist, bitte "Nicht verfügbar" oder "n/a." auswählen. Ein leeres Feld kann dazu führen, dass ein Fehler in der Anwendung auftritt. Dies ist ein obligatorisches Feld.</v>
      </c>
      <c r="B14" s="179"/>
    </row>
    <row r="15" spans="1:2" ht="20.25" customHeight="1">
      <c r="A15" s="93" t="str">
        <f ca="1">OFFSET(L!$C$1,MATCH("Instructions"&amp;ADDRESS(ROW(),COLUMN(),4),L!$A:$A,0)-1,SL,,)</f>
        <v>9. Geben Sie die Telefonnummer des Kontakts an. Dies ist ein obligatorisches Feld.</v>
      </c>
      <c r="B15" s="179"/>
    </row>
    <row r="16" spans="1:2" ht="49.5" customHeight="1">
      <c r="A16" s="93" t="str">
        <f ca="1">OFFSET(L!$C$1,MATCH("Instructions"&amp;ADDRESS(ROW(),COLUMN(),4),L!$A:$A,0)-1,SL,,)</f>
        <v>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79"/>
    </row>
    <row r="17" spans="1:2" ht="32.25" customHeight="1">
      <c r="A17" s="93" t="str">
        <f ca="1">OFFSET(L!$C$1,MATCH("Instructions"&amp;ADDRESS(ROW(),COLUMN(),4),L!$A:$A,0)-1,SL,,)</f>
        <v>11. Geben Sie den Titel für den Namen des Bevollmächtigten an. Dieses Feld ist optional.</v>
      </c>
      <c r="B17" s="179"/>
    </row>
    <row r="18" spans="1:2" ht="29.25">
      <c r="A18" s="93" t="str">
        <f ca="1">OFFSET(L!$C$1,MATCH("Instructions"&amp;ADDRESS(ROW(),COLUMN(),4),L!$A:$A,0)-1,SL,,)</f>
        <v>12. Geben Sie die E-mail-Adresse der bevollmächtigten Person an. Wenn eine E-mail Adresse nicht verfügbar ist, bitte "Nicht verfügbar" oder "n/a." auswählen. Ein leeres Feld kann dazu führen, dass ein Fehler in der Anwendung auftritt. Dies ist ein obligatorisches Feld.</v>
      </c>
      <c r="B18" s="179"/>
    </row>
    <row r="19" spans="1:2" ht="31.5" customHeight="1">
      <c r="A19" s="93" t="str">
        <f ca="1">OFFSET(L!$C$1,MATCH("Instructions"&amp;ADDRESS(ROW(),COLUMN(),4),L!$A:$A,0)-1,SL,,)</f>
        <v>13. Fügen Sie die Telefonnummer der freigabeberechtigten Person ein. Das Ausfüllen dieses Feldes ist freiwillig.</v>
      </c>
      <c r="B19" s="179"/>
    </row>
    <row r="20" spans="1:2" ht="35.549999999999997" customHeight="1">
      <c r="A20" s="93" t="str">
        <f ca="1">OFFSET(L!$C$1,MATCH("Instructions"&amp;ADDRESS(ROW(),COLUMN(),4),L!$A:$A,0)-1,SL,,)</f>
        <v>14. Bitte geben Sie das Datum der Fertigstellung für dieses Formblatt mit dem Format TT-MMM-JJJJ ein. Dies ist ein obligatorisches Feld.</v>
      </c>
      <c r="B20" s="179"/>
    </row>
    <row r="21" spans="1:2" ht="40.5" customHeight="1">
      <c r="A21" s="93" t="str">
        <f ca="1">OFFSET(L!$C$1,MATCH("Instructions"&amp;ADDRESS(ROW(),COLUMN(),4),L!$A:$A,0)-1,SL,,)</f>
        <v>15. Zum Beispiel kann der Benutzer die Datei unter dem Namen speichern: companyname-datum.xls (Datum im Format JJJJ-MM-TT).</v>
      </c>
      <c r="B21" s="179"/>
    </row>
    <row r="22" spans="1:2" ht="17.55" customHeight="1">
      <c r="A22" s="218"/>
      <c r="B22" s="179"/>
    </row>
    <row r="23" spans="1:2" ht="42.75" customHeight="1">
      <c r="A23" s="94" t="str">
        <f ca="1">OFFSET(L!$C$1,MATCH("Instructions"&amp;ADDRESS(ROW(),COLUMN(),4),L!$A:$A,0)-1,SL,,)</f>
        <v>Anweisungen zum Ausfüllen der sieben Fragen zum Erklärungsumfang (Zeilen 28–107).
Bitte geben Sie Ihre Antworten nur auf ENGLISCH.</v>
      </c>
      <c r="B23" s="179"/>
    </row>
    <row r="24" spans="1:2" ht="57.75" customHeight="1">
      <c r="A24" s="94" t="str">
        <f ca="1">OFFSET(L!$C$1,MATCH("Instructions"&amp;ADDRESS(ROW(),COLUMN(),4),L!$A:$A,0)-1,SL,,)</f>
        <v>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v>
      </c>
      <c r="B24" s="179"/>
    </row>
    <row r="25" spans="1:2" ht="30.75" customHeight="1">
      <c r="A25" s="94" t="str">
        <f ca="1">OFFSET(L!$C$1,MATCH("Instructions"&amp;ADDRESS(ROW(),COLUMN(),4),L!$A:$A,0)-1,SL,,)</f>
        <v>Geben Sie Kommentare in den Kommentarabschnitten ein, um Ihre Antworten zu klären.</v>
      </c>
      <c r="B25" s="179"/>
    </row>
    <row r="26" spans="1:2" ht="46.5" customHeight="1">
      <c r="A26" s="94" t="str">
        <f ca="1">OFFSET(L!$C$1,MATCH("Instructions"&amp;ADDRESS(ROW(),COLUMN(),4),L!$A:$A,0)-1,SL,,)</f>
        <v>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v>
      </c>
      <c r="B26" s="179"/>
    </row>
    <row r="27" spans="1:2" ht="117">
      <c r="A27" s="93" t="str">
        <f ca="1">OFFSET(L!$C$1,MATCH("Instructions"&amp;ADDRESS(ROW(),COLUMN(),4),L!$A:$A,0)-1,SL,,)</f>
        <v>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v>
      </c>
      <c r="B27" s="179"/>
    </row>
    <row r="28" spans="1:2" ht="36" customHeight="1">
      <c r="A28" s="93" t="str">
        <f ca="1">OFFSET(L!$C$1,MATCH("Instructions"&amp;ADDRESS(ROW(),COLUMN(),4),L!$A:$A,0)-1,SL,,)</f>
        <v>Manche Unternehmen verlangen möglicherweise Belege, wenn Sie diese Frage mit „nein” beantworten. Diese Belege sind im Feld „Anmerkungen” einzugeben.</v>
      </c>
      <c r="B28" s="179"/>
    </row>
    <row r="29" spans="1:2" ht="190.15">
      <c r="A29" s="93" t="str">
        <f ca="1">OFFSET(L!$C$1,MATCH("Instructions"&amp;ADDRESS(ROW(),COLUMN(),4),L!$A:$A,0)-1,SL,,)</f>
        <v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v>
      </c>
      <c r="B29" s="179"/>
    </row>
    <row r="30" spans="1:2" ht="102.4">
      <c r="A30" s="93" t="str">
        <f ca="1">OFFSET(L!$C$1,MATCH("Instructions"&amp;ADDRESS(ROW(),COLUMN(),4),L!$A:$A,0)-1,SL,,)</f>
        <v>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v>
      </c>
      <c r="B30" s="179"/>
    </row>
    <row r="31" spans="1:2" ht="131.65">
      <c r="A31" s="93" t="str">
        <f ca="1">OFFSET(L!$C$1,MATCH("Instructions"&amp;ADDRESS(ROW(),COLUMN(),4),L!$A:$A,0)-1,SL,,)</f>
        <v>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v>
      </c>
      <c r="B31" s="179"/>
    </row>
    <row r="32" spans="1:2" ht="190.15">
      <c r="A32" s="93" t="str">
        <f ca="1">OFFSET(L!$C$1,MATCH("Instructions"&amp;ADDRESS(ROW(),COLUMN(),4),L!$A:$A,0)-1,SL,,)</f>
        <v>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v>
      </c>
      <c r="B32" s="179"/>
    </row>
    <row r="33" spans="1:2" ht="58.5">
      <c r="A33" s="93" t="str">
        <f ca="1">OFFSET(L!$C$1,MATCH("Instructions"&amp;ADDRESS(ROW(),COLUMN(),4),L!$A:$A,0)-1,SL,,)</f>
        <v>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v>
      </c>
      <c r="B33" s="179"/>
    </row>
    <row r="34" spans="1:2" ht="58.5">
      <c r="A34" s="93"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v>
      </c>
      <c r="B34" s="179"/>
    </row>
    <row r="35" spans="1:2" ht="14.65">
      <c r="A35" s="228"/>
      <c r="B35" s="179"/>
    </row>
    <row r="36" spans="1:2" ht="68.55" customHeight="1">
      <c r="A36" s="219" t="str">
        <f ca="1">OFFSET(L!$C$1,MATCH("Instructions"&amp;ADDRESS(ROW(),COLUMN(),4),L!$A:$A,0)-1,SL,,)</f>
        <v>Instruktionen zur Beantwortung der Fragen A. – G. (Reihen 113–137). Die Fragen A bis G sind obligatorisch, wenn die Antwort auf Frage 1 und 2 „Ja“ für angegebenen Mineralien lautet.
Bitte geben Sie Ihre Antworten nur auf ENGLISCH</v>
      </c>
      <c r="B36" s="179"/>
    </row>
    <row r="37" spans="1:2" ht="117">
      <c r="A37" s="219"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v>
      </c>
      <c r="B37" s="179"/>
    </row>
    <row r="38" spans="1:2" ht="29.25">
      <c r="A38" s="93" t="str">
        <f ca="1">OFFSET(L!$C$1,MATCH("Instructions"&amp;ADDRESS(ROW(),COLUMN(),4),L!$A:$A,0)-1,SL,,)</f>
        <v>A. Diese Erklärung dient der Bestimmung, ob ein Unternehmen über eine Richtlinie zur verantwortungsvollen Beschaffung von Mineralien verfügt. Die Antwort auf diese Frage muss „Ja“ oder „Nein“ lauten.</v>
      </c>
      <c r="B38" s="179"/>
    </row>
    <row r="39" spans="1:2" ht="29.25">
      <c r="A39" s="93"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v>
      </c>
      <c r="B39" s="179"/>
    </row>
    <row r="40" spans="1:2" ht="58.5">
      <c r="A40" s="93" t="str">
        <f ca="1">OFFSET(L!$C$1,MATCH("Instructions"&amp;ADDRESS(ROW(),COLUMN(),4),L!$A:$A,0)-1,SL,,)</f>
        <v>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v>
      </c>
      <c r="B40" s="179"/>
    </row>
    <row r="41" spans="1:2" ht="87.75">
      <c r="A41" s="93"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1" s="179"/>
    </row>
    <row r="42" spans="1:2" ht="146.25">
      <c r="A42" s="93"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2" s="179"/>
    </row>
    <row r="43" spans="1:2" ht="131.65">
      <c r="A43" s="93"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3" s="179"/>
    </row>
    <row r="44" spans="1:2" ht="29.25">
      <c r="A44" s="93"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4" s="179"/>
    </row>
    <row r="45" spans="1:2" ht="16.05" customHeight="1">
      <c r="A45" s="218"/>
      <c r="B45" s="179"/>
    </row>
    <row r="46" spans="1:2" ht="58.5">
      <c r="A46" s="94" t="str">
        <f ca="1">OFFSET(L!$C$1,MATCH("Instructions"&amp;ADDRESS(ROW(),COLUMN(),4),L!$A:$A,0)-1,SL,,)</f>
        <v>Hinweis: Spalten mit (*) sind Pflichtfelder</v>
      </c>
      <c r="B46" s="179"/>
    </row>
    <row r="47" spans="1:2" ht="63.75" customHeight="1">
      <c r="A47" s="94"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7" s="179"/>
    </row>
    <row r="48" spans="1:2" ht="52.05" customHeight="1">
      <c r="A48" s="93"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79"/>
    </row>
    <row r="49" spans="1:2" ht="43.5" customHeight="1">
      <c r="A49" s="93" t="str">
        <f ca="1">OFFSET(L!$C$1,MATCH("Instructions"&amp;ADDRESS(ROW(),COLUMN(),4),L!$A:$A,0)-1,SL,,)</f>
        <v>2.  Metall ( * ) - Verwenden Sie das Pull-down-Menü, um das Metall auszuwählen,  für welches Sie Informationen über die Schmelzhütte eingeben. Metalle erscheinen nur, wenn die Fragen 1 und 2 für angegebenen Mineralien mit „Ja“ beantwortet wurden. Dies ist ein Pflichteingabefeld.</v>
      </c>
      <c r="B49" s="179"/>
    </row>
    <row r="50" spans="1:2" ht="58.5">
      <c r="A50" s="93"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79"/>
    </row>
    <row r="51" spans="1:2" ht="29.25">
      <c r="A51" s="93"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79"/>
    </row>
    <row r="52" spans="1:2" ht="45.75" customHeight="1">
      <c r="A52" s="93"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79"/>
    </row>
    <row r="53" spans="1:2" ht="43.9">
      <c r="A53" s="93"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79"/>
    </row>
    <row r="54" spans="1:2" ht="29.25">
      <c r="A54" s="93"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79"/>
    </row>
    <row r="55" spans="1:2" ht="35.549999999999997" customHeight="1">
      <c r="A55" s="93" t="str">
        <f ca="1">OFFSET(L!$C$1,MATCH("Instructions"&amp;ADDRESS(ROW(),COLUMN(),4),L!$A:$A,0)-1,SL,,)</f>
        <v>8. Straße der Schmelzhütte – Geben Sie den Straßennamen des Schmelzhüttenstandortes an. Das Ausfüllen dieses Feldes ist freiwillig.</v>
      </c>
      <c r="B55" s="179"/>
    </row>
    <row r="56" spans="1:2" ht="14.65">
      <c r="A56" s="93" t="str">
        <f ca="1">OFFSET(L!$C$1,MATCH("Instructions"&amp;ADDRESS(ROW(),COLUMN(),4),L!$A:$A,0)-1,SL,,)</f>
        <v>9. Ort der Schmelzhütte – Geben Sie den Namen des Ortes an, in dem sich die Schmelzhütte befindet. Das Ausfüllen dieses Feldes ist freiwillig.</v>
      </c>
      <c r="B56" s="179"/>
    </row>
    <row r="57" spans="1:2" ht="34.049999999999997" customHeight="1">
      <c r="A57" s="93" t="str">
        <f ca="1">OFFSET(L!$C$1,MATCH("Instructions"&amp;ADDRESS(ROW(),COLUMN(),4),L!$A:$A,0)-1,SL,,)</f>
        <v>10. Standort der Schmelzhütte: Ggf. Bundesland/Region/Provinz – Geben Sie das Bundesland oder die Region/Provinz des Schmelzhüttenstandortes an. Das Ausfüllen dieses Feldes ist freiwillig.</v>
      </c>
      <c r="B57" s="179"/>
    </row>
    <row r="58" spans="1:2" ht="160.9">
      <c r="A58" s="93"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79"/>
    </row>
    <row r="59" spans="1:2" ht="43.9">
      <c r="A59" s="93"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79"/>
    </row>
    <row r="60" spans="1:2" ht="43.9">
      <c r="A60" s="93"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79"/>
    </row>
    <row r="61" spans="1:2" ht="58.5">
      <c r="A61" s="93"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79"/>
    </row>
    <row r="62" spans="1:2" ht="101.25" customHeight="1">
      <c r="A62" s="93"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79"/>
    </row>
    <row r="63" spans="1:2" ht="29.25">
      <c r="A63" s="93" t="str">
        <f ca="1">OFFSET(L!$C$1,MATCH("Instructions"&amp;ADDRESS(ROW(),COLUMN(),4),L!$A:$A,0)-1,SL,,)</f>
        <v xml:space="preserve">16. Anmerkungen - geben Sie Ihre Anmerkungen zu den Schmelzhütten in das Textfeld ein. Beispiel: Smelter is being acquired by Company YYY </v>
      </c>
      <c r="B63" s="179"/>
    </row>
    <row r="64" spans="1:2" ht="14.65">
      <c r="A64" s="218"/>
      <c r="B64" s="179"/>
    </row>
    <row r="65" spans="1:2" ht="29.25">
      <c r="A65" s="219" t="str">
        <f ca="1">OFFSET(L!$C$1,MATCH("Instructions"&amp;ADDRESS(ROW(),COLUMN(),4),L!$A:$A,0)-1,SL,,)</f>
        <v>Anleitung zum Ausfüllen Registerkarte „Minenliste“.  Die Kommentare nur in englischer Sprache.</v>
      </c>
      <c r="B65" s="179"/>
    </row>
    <row r="66" spans="1:2" ht="29.25">
      <c r="A66" s="93" t="str">
        <f ca="1">OFFSET(L!$C$1,MATCH("Instructions"&amp;ADDRESS(ROW(),COLUMN(),4),L!$A:$A,0)-1,SL,,)</f>
        <v>1. Metall - Verwenden Sie das Pull-down-Menü, um das Metall auszuwählen, für welches Sie Informationen über die Schmelzhütte eingeben. Metalle erscheinen nur, wenn die Fragen 1 und 2 für angegebenen Mineralien mit „Ja“ beantwortet wurden.</v>
      </c>
      <c r="B66" s="179"/>
    </row>
    <row r="67" spans="1:2" ht="29.25">
      <c r="A67" s="93" t="str">
        <f ca="1">OFFSET(L!$C$1,MATCH("Instructions"&amp;ADDRESS(ROW(),COLUMN(),4),L!$A:$A,0)-1,SL,,)</f>
        <v>2. Name der Schmelzhütte(n), die ihre Rohstoffe aus dieser Bergbauanlage beziehen - Geben Sie nach Möglichkeit den Namen der Schmelzhütte(n) ein, die ihre Rohstoffe aus der aufgeführten Bergbauanlage beziehen.</v>
      </c>
      <c r="B67" s="179"/>
    </row>
    <row r="68" spans="1:2" ht="14.65">
      <c r="A68" s="93" t="str">
        <f ca="1">OFFSET(L!$C$1,MATCH("Instructions"&amp;ADDRESS(ROW(),COLUMN(),4),L!$A:$A,0)-1,SL,,)</f>
        <v>3. Name der Bergbauanlage (Bergbaustandort) - Geben Sie den Name der Bergbauanlage so ein, wie Sie ihn kennen.</v>
      </c>
      <c r="B68" s="179"/>
    </row>
    <row r="69" spans="1:2" ht="43.9">
      <c r="A69" s="93" t="str">
        <f ca="1">OFFSET(L!$C$1,MATCH("Instructions"&amp;ADDRESS(ROW(),COLUMN(),4),L!$A:$A,0)-1,SL,,)</f>
        <v>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v>
      </c>
      <c r="B69" s="179"/>
    </row>
    <row r="70" spans="1:2" ht="14.65">
      <c r="A70" s="93" t="str">
        <f ca="1">OFFSET(L!$C$1,MATCH("Instructions"&amp;ADDRESS(ROW(),COLUMN(),4),L!$A:$A,0)-1,SL,,)</f>
        <v>5. Quelle der Bergbauanlage Identifikationsnummer - das ist die Quelle der Bergbauanlage, welche in der Spalte D eingegeben wurde.</v>
      </c>
      <c r="B70" s="179"/>
    </row>
    <row r="71" spans="1:2" ht="14.65">
      <c r="A71" s="93" t="str">
        <f ca="1">OFFSET(L!$C$1,MATCH("Instructions"&amp;ADDRESS(ROW(),COLUMN(),4),L!$A:$A,0)-1,SL,,)</f>
        <v>6. Bergbauanlage Land -  Benutzen Sie bitte das Pull-down Menü, um das Land der Bergbauanlage auszuwählen.</v>
      </c>
      <c r="B71" s="179"/>
    </row>
    <row r="72" spans="1:2" ht="14.65">
      <c r="A72" s="93" t="str">
        <f ca="1">OFFSET(L!$C$1,MATCH("Instructions"&amp;ADDRESS(ROW(),COLUMN(),4),L!$A:$A,0)-1,SL,,)</f>
        <v>7. Straße der Bergbauanlage – Geben Sie den Straßennamen des Bergbauanlage Standortes an. Das Ausfüllen dieses Feldes ist freiwillig.</v>
      </c>
      <c r="B72" s="179"/>
    </row>
    <row r="73" spans="1:2" ht="14.65">
      <c r="A73" s="93" t="str">
        <f ca="1">OFFSET(L!$C$1,MATCH("Instructions"&amp;ADDRESS(ROW(),COLUMN(),4),L!$A:$A,0)-1,SL,,)</f>
        <v>8. Ort der Bergbauanlage – Geben Sie den Namen des Ortes an, in dem sich die Bergbauanlage befindet. Das Ausfüllen dieses Feldes ist freiwillig.</v>
      </c>
      <c r="B73" s="179"/>
    </row>
    <row r="74" spans="1:2" ht="14.65">
      <c r="A74" s="93" t="str">
        <f ca="1">OFFSET(L!$C$1,MATCH("Instructions"&amp;ADDRESS(ROW(),COLUMN(),4),L!$A:$A,0)-1,SL,,)</f>
        <v>9. Standort der Bergbauanlage: Ggf. Bundesland/Region/Provinz – Geben Sie das Bundesland oder die Region/Provinz des Bergbauanlage Standortes an. Das Ausfüllen dieses Feldes ist freiwillig.</v>
      </c>
      <c r="B74" s="179"/>
    </row>
    <row r="75" spans="1:2" ht="87.75">
      <c r="A75" s="93" t="str">
        <f ca="1">OFFSET(L!$C$1,MATCH("Instructions"&amp;ADDRESS(ROW(),COLUMN(),4),L!$A:$A,0)-1,SL,,)</f>
        <v>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v>
      </c>
      <c r="B75" s="179"/>
    </row>
    <row r="76" spans="1:2" ht="43.9">
      <c r="A76" s="93" t="str">
        <f ca="1">OFFSET(L!$C$1,MATCH("Instructions"&amp;ADDRESS(ROW(),COLUMN(),4),L!$A:$A,0)-1,SL,,)</f>
        <v>11. Bergbauanlage Kontakt-E-Mail - Tragen Sie die E-mail Adresse des Ansprechpartners zur Bergbauanlage ein. Zum Beispiel:   John.Smith@SmelterXXX.com. Lesen Sie bitte die Anweisungen für die Eingabe des Ansprechpartners vor der Eingabe des Kontakt Namens.</v>
      </c>
      <c r="B76" s="179"/>
    </row>
    <row r="77" spans="1:2" ht="43.9">
      <c r="A77" s="93" t="str">
        <f ca="1">OFFSET(L!$C$1,MATCH("Instructions"&amp;ADDRESS(ROW(),COLUMN(),4),L!$A:$A,0)-1,SL,,)</f>
        <v>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v>
      </c>
      <c r="B77" s="179"/>
    </row>
    <row r="78" spans="1:2" ht="29.25">
      <c r="A78" s="93" t="str">
        <f ca="1">OFFSET(L!$C$1,MATCH("Instructions"&amp;ADDRESS(ROW(),COLUMN(),4),L!$A:$A,0)-1,SL,,)</f>
        <v xml:space="preserve">13. Anmerkungen - geben Sie Ihre Anmerkungen zu den Bergbauanlagen in das Textfeld ein. Beispiel: Mine is being acquired by Company YYY </v>
      </c>
      <c r="B78" s="179"/>
    </row>
    <row r="79" spans="1:2" ht="14.65">
      <c r="A79" s="218"/>
      <c r="B79" s="179"/>
    </row>
    <row r="80" spans="1:2" ht="87.75">
      <c r="A80" s="219"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80" s="179"/>
    </row>
    <row r="81" spans="1:2" ht="14.65">
      <c r="A81" s="218"/>
      <c r="B81" s="179"/>
    </row>
    <row r="82" spans="1:2" ht="18" customHeight="1">
      <c r="A82" s="94" t="str">
        <f ca="1">OFFSET(L!$C$1,MATCH("Instructions"&amp;ADDRESS(ROW(),COLUMN(),4),L!$A:$A,0)-1,SL,,)</f>
        <v>Allgemeine Geschäftsbedingungen (AGB)</v>
      </c>
      <c r="B82" s="179"/>
    </row>
    <row r="83" spans="1:2" ht="102.4">
      <c r="A83" s="94"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83" s="179"/>
    </row>
    <row r="84" spans="1:2" ht="58.5">
      <c r="A84" s="9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84" s="179"/>
    </row>
    <row r="85" spans="1:2" ht="58.5">
      <c r="A85" s="94"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85" s="179"/>
    </row>
    <row r="86" spans="1:2" ht="117">
      <c r="A86" s="94"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86" s="179"/>
    </row>
    <row r="87" spans="1:2" ht="43.9">
      <c r="A87" s="94"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87" s="179"/>
    </row>
    <row r="88" spans="1:2" ht="14.65">
      <c r="A88" s="94" t="str">
        <f ca="1">OFFSET(L!$C$1,MATCH("Instructions"&amp;ADDRESS(ROW(),COLUMN(),4),L!$A:$A,0)-1,SL,,)</f>
        <v xml:space="preserve">Beim Bearbeiten und der Benutzung der Liste oder eines jeglichen Werkzeuges und der Beachtung dessen, stimmt der Anwender dem vorhergehenden zu. </v>
      </c>
      <c r="B88" s="179"/>
    </row>
    <row r="89" spans="1:2" ht="14.65">
      <c r="A89" s="93" t="str">
        <f ca="1">OFFSET(L!$C$1,MATCH("General"&amp;"Cpy",L!$A:$A,0)-1,SL,,)</f>
        <v>© 2025 Responsible Minerals Initiative. All rights reserved.</v>
      </c>
      <c r="B89" s="179"/>
    </row>
    <row r="90" spans="1:2" ht="34.5" customHeight="1">
      <c r="A90" s="182" t="s">
        <v>0</v>
      </c>
      <c r="B90" s="178"/>
    </row>
    <row r="91" spans="1:2" ht="14.6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03125" defaultRowHeight="13.5"/>
  <cols>
    <col min="1" max="1" width="14.703125" style="126" customWidth="1"/>
    <col min="2" max="2" width="14" style="126" customWidth="1"/>
    <col min="3" max="3" width="6" style="126" customWidth="1"/>
    <col min="4" max="4" width="51" style="126" customWidth="1"/>
    <col min="5" max="5" width="46" style="240" customWidth="1"/>
    <col min="6" max="6" width="61.703125" style="241" customWidth="1"/>
    <col min="7" max="7" width="61.703125" style="126" customWidth="1"/>
    <col min="8" max="8" width="65.703125" style="143" customWidth="1"/>
    <col min="9" max="9" width="51.46875" style="188" customWidth="1"/>
    <col min="10" max="16384" width="8.703125" style="188"/>
  </cols>
  <sheetData>
    <row r="1" spans="1:9">
      <c r="B1" s="126" t="s">
        <v>361</v>
      </c>
      <c r="C1" s="126" t="s">
        <v>362</v>
      </c>
      <c r="D1" s="126" t="s">
        <v>17</v>
      </c>
      <c r="E1" s="240" t="s">
        <v>363</v>
      </c>
      <c r="F1" s="241" t="s">
        <v>364</v>
      </c>
      <c r="G1" s="126" t="s">
        <v>365</v>
      </c>
      <c r="H1" s="276" t="s">
        <v>366</v>
      </c>
      <c r="I1" s="188" t="s">
        <v>18438</v>
      </c>
    </row>
    <row r="2" spans="1:9" ht="40.9">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ht="13.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7.75">
      <c r="A11" s="126" t="str">
        <f>B11&amp;C11</f>
        <v>InstructionsA11</v>
      </c>
      <c r="B11" s="126" t="s">
        <v>367</v>
      </c>
      <c r="C11" s="126" t="s">
        <v>397</v>
      </c>
      <c r="D11" s="126" t="s">
        <v>19326</v>
      </c>
      <c r="E11" s="240" t="s">
        <v>19992</v>
      </c>
      <c r="F11" s="241" t="s">
        <v>20004</v>
      </c>
      <c r="G11" s="126" t="s">
        <v>20016</v>
      </c>
      <c r="H11" s="276" t="s">
        <v>20028</v>
      </c>
      <c r="I11" s="126" t="s">
        <v>20039</v>
      </c>
    </row>
    <row r="12" spans="1:9" ht="42.75">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40.5">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17">
      <c r="A23" s="126" t="str">
        <f t="shared" si="0"/>
        <v>InstructionsA24</v>
      </c>
      <c r="B23" s="126" t="s">
        <v>367</v>
      </c>
      <c r="C23" s="126" t="s">
        <v>408</v>
      </c>
      <c r="D23" s="126" t="s">
        <v>19374</v>
      </c>
      <c r="E23" s="240" t="s">
        <v>19483</v>
      </c>
      <c r="F23" s="241" t="s">
        <v>19484</v>
      </c>
      <c r="G23" s="242" t="s">
        <v>19485</v>
      </c>
      <c r="H23" s="279" t="s">
        <v>19486</v>
      </c>
      <c r="I23" s="126" t="s">
        <v>19487</v>
      </c>
    </row>
    <row r="24" spans="1:9" ht="29.25">
      <c r="A24" s="126" t="str">
        <f>B24&amp;C24</f>
        <v>InstructionsA25</v>
      </c>
      <c r="B24" s="126" t="s">
        <v>367</v>
      </c>
      <c r="C24" s="126" t="s">
        <v>414</v>
      </c>
      <c r="D24" s="126" t="s">
        <v>409</v>
      </c>
      <c r="E24" s="240" t="s">
        <v>410</v>
      </c>
      <c r="F24" s="241" t="s">
        <v>411</v>
      </c>
      <c r="G24" s="126" t="s">
        <v>412</v>
      </c>
      <c r="H24" s="279" t="s">
        <v>413</v>
      </c>
      <c r="I24" s="126" t="s">
        <v>18442</v>
      </c>
    </row>
    <row r="25" spans="1:9" ht="94.5">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43">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67.5">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08">
      <c r="A38" s="126" t="str">
        <f t="shared" si="0"/>
        <v>InstructionsA40</v>
      </c>
      <c r="B38" s="126" t="s">
        <v>367</v>
      </c>
      <c r="C38" s="126" t="s">
        <v>436</v>
      </c>
      <c r="D38" s="126" t="s">
        <v>19267</v>
      </c>
      <c r="E38" s="381" t="s">
        <v>19523</v>
      </c>
      <c r="F38" s="272" t="s">
        <v>19888</v>
      </c>
      <c r="G38" s="126" t="s">
        <v>19526</v>
      </c>
      <c r="H38" s="276" t="s">
        <v>19528</v>
      </c>
      <c r="I38" s="126" t="s">
        <v>19530</v>
      </c>
    </row>
    <row r="39" spans="1:9" ht="189">
      <c r="A39" s="126" t="str">
        <f t="shared" si="0"/>
        <v>InstructionsA41</v>
      </c>
      <c r="B39" s="126" t="s">
        <v>367</v>
      </c>
      <c r="C39" s="126" t="s">
        <v>442</v>
      </c>
      <c r="D39" s="126" t="s">
        <v>437</v>
      </c>
      <c r="E39" s="247" t="s">
        <v>438</v>
      </c>
      <c r="F39" s="273" t="s">
        <v>439</v>
      </c>
      <c r="G39" s="246" t="s">
        <v>440</v>
      </c>
      <c r="H39" s="276" t="s">
        <v>441</v>
      </c>
      <c r="I39" s="126" t="s">
        <v>18445</v>
      </c>
    </row>
    <row r="40" spans="1:9" ht="229.5">
      <c r="A40" s="126" t="str">
        <f>B40&amp;C40</f>
        <v>InstructionsA42</v>
      </c>
      <c r="B40" s="126" t="s">
        <v>367</v>
      </c>
      <c r="C40" s="126" t="s">
        <v>448</v>
      </c>
      <c r="D40" s="126" t="s">
        <v>443</v>
      </c>
      <c r="E40" s="247" t="s">
        <v>444</v>
      </c>
      <c r="F40" s="273" t="s">
        <v>445</v>
      </c>
      <c r="G40" s="249" t="s">
        <v>446</v>
      </c>
      <c r="H40" s="280" t="s">
        <v>447</v>
      </c>
      <c r="I40" s="126" t="s">
        <v>18446</v>
      </c>
    </row>
    <row r="41" spans="1:9" ht="202.5">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48.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297">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89">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1.25">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4.5">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40.5">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02.5">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21.5">
      <c r="A73" s="126" t="str">
        <f t="shared" si="5"/>
        <v>InstructionsA77</v>
      </c>
      <c r="B73" s="126" t="s">
        <v>367</v>
      </c>
      <c r="C73" s="126" t="s">
        <v>19472</v>
      </c>
      <c r="D73" s="126" t="s">
        <v>19456</v>
      </c>
      <c r="E73" s="240" t="s">
        <v>19457</v>
      </c>
      <c r="F73" s="241" t="s">
        <v>19458</v>
      </c>
      <c r="G73" s="126" t="s">
        <v>19459</v>
      </c>
      <c r="H73" s="276" t="s">
        <v>19460</v>
      </c>
      <c r="I73" s="126" t="s">
        <v>19461</v>
      </c>
    </row>
    <row r="74" spans="1:9" ht="40.5">
      <c r="A74" s="126" t="str">
        <f t="shared" si="5"/>
        <v>InstructionsA78</v>
      </c>
      <c r="B74" s="126" t="s">
        <v>367</v>
      </c>
      <c r="C74" s="126" t="s">
        <v>19473</v>
      </c>
      <c r="D74" s="126" t="s">
        <v>19462</v>
      </c>
      <c r="E74" s="240" t="s">
        <v>19463</v>
      </c>
      <c r="F74" s="241" t="s">
        <v>19464</v>
      </c>
      <c r="G74" s="126" t="s">
        <v>19465</v>
      </c>
      <c r="H74" s="276" t="s">
        <v>19466</v>
      </c>
      <c r="I74" s="126" t="s">
        <v>19467</v>
      </c>
    </row>
    <row r="75" spans="1:9" ht="175.5">
      <c r="A75" s="126" t="str">
        <f>B75&amp;C75</f>
        <v>InstructionsA80</v>
      </c>
      <c r="B75" s="126" t="s">
        <v>367</v>
      </c>
      <c r="C75" s="126" t="s">
        <v>19474</v>
      </c>
      <c r="D75" s="126" t="s">
        <v>560</v>
      </c>
      <c r="E75" s="240" t="s">
        <v>561</v>
      </c>
      <c r="F75" s="241" t="s">
        <v>562</v>
      </c>
      <c r="G75" s="126" t="s">
        <v>563</v>
      </c>
      <c r="H75" s="279" t="s">
        <v>564</v>
      </c>
      <c r="I75" s="126" t="s">
        <v>18465</v>
      </c>
    </row>
    <row r="76" spans="1:9" ht="27">
      <c r="A76" s="126" t="str">
        <f t="shared" si="0"/>
        <v>InstructionsA82</v>
      </c>
      <c r="B76" s="126" t="s">
        <v>367</v>
      </c>
      <c r="C76" s="126" t="s">
        <v>19475</v>
      </c>
      <c r="D76" s="126" t="s">
        <v>566</v>
      </c>
      <c r="E76" s="240" t="s">
        <v>567</v>
      </c>
      <c r="F76" s="241" t="s">
        <v>568</v>
      </c>
      <c r="G76" s="126" t="s">
        <v>569</v>
      </c>
      <c r="H76" s="279" t="s">
        <v>570</v>
      </c>
      <c r="I76" s="126" t="s">
        <v>18467</v>
      </c>
    </row>
    <row r="77" spans="1:9" ht="283.5">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48.5">
      <c r="A79" s="126" t="str">
        <f t="shared" si="0"/>
        <v>InstructionsA85</v>
      </c>
      <c r="B79" s="126" t="s">
        <v>367</v>
      </c>
      <c r="C79" s="126" t="s">
        <v>19478</v>
      </c>
      <c r="D79" s="126" t="s">
        <v>584</v>
      </c>
      <c r="E79" s="240" t="s">
        <v>585</v>
      </c>
      <c r="F79" s="241" t="s">
        <v>586</v>
      </c>
      <c r="G79" s="251" t="s">
        <v>587</v>
      </c>
      <c r="H79" s="276" t="s">
        <v>588</v>
      </c>
      <c r="I79" s="126" t="s">
        <v>18469</v>
      </c>
    </row>
    <row r="80" spans="1:9" ht="297">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ht="13.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5.5">
      <c r="A102" s="126" t="str">
        <f t="shared" si="7"/>
        <v>DefinitionsB21</v>
      </c>
      <c r="B102" s="126" t="s">
        <v>607</v>
      </c>
      <c r="C102" s="126" t="s">
        <v>715</v>
      </c>
      <c r="D102" s="126" t="s">
        <v>683</v>
      </c>
      <c r="E102" s="240" t="s">
        <v>684</v>
      </c>
      <c r="F102" s="241" t="s">
        <v>685</v>
      </c>
      <c r="G102" s="126" t="s">
        <v>686</v>
      </c>
      <c r="H102" s="276" t="s">
        <v>687</v>
      </c>
      <c r="I102" s="188" t="s">
        <v>18481</v>
      </c>
    </row>
    <row r="103" spans="1:9" ht="13.9">
      <c r="A103" s="126" t="str">
        <f t="shared" si="7"/>
        <v>DefinitionsB22</v>
      </c>
      <c r="B103" s="126" t="s">
        <v>607</v>
      </c>
      <c r="C103" s="126" t="s">
        <v>19303</v>
      </c>
      <c r="D103" s="126" t="s">
        <v>689</v>
      </c>
      <c r="E103" s="240" t="s">
        <v>690</v>
      </c>
      <c r="F103" s="241" t="s">
        <v>689</v>
      </c>
      <c r="G103" s="126" t="s">
        <v>689</v>
      </c>
      <c r="H103" s="276" t="s">
        <v>689</v>
      </c>
      <c r="I103" s="276" t="s">
        <v>689</v>
      </c>
    </row>
    <row r="104" spans="1:9" ht="25.5">
      <c r="A104" s="126" t="str">
        <f t="shared" si="7"/>
        <v>DefinitionsB23</v>
      </c>
      <c r="B104" s="126" t="s">
        <v>607</v>
      </c>
      <c r="C104" s="126" t="s">
        <v>19304</v>
      </c>
      <c r="D104" s="126" t="s">
        <v>692</v>
      </c>
      <c r="E104" s="240" t="s">
        <v>693</v>
      </c>
      <c r="F104" s="241" t="s">
        <v>694</v>
      </c>
      <c r="G104" s="126" t="s">
        <v>695</v>
      </c>
      <c r="H104" s="276" t="s">
        <v>696</v>
      </c>
      <c r="I104" s="188" t="s">
        <v>692</v>
      </c>
    </row>
    <row r="105" spans="1:9" ht="13.9">
      <c r="A105" s="126" t="str">
        <f t="shared" si="7"/>
        <v>DefinitionsB24</v>
      </c>
      <c r="B105" s="126" t="s">
        <v>607</v>
      </c>
      <c r="C105" s="126" t="s">
        <v>19305</v>
      </c>
      <c r="D105" s="126" t="s">
        <v>698</v>
      </c>
      <c r="E105" s="240" t="s">
        <v>699</v>
      </c>
      <c r="F105" s="241" t="s">
        <v>700</v>
      </c>
      <c r="G105" s="126" t="s">
        <v>701</v>
      </c>
      <c r="H105" s="276" t="s">
        <v>702</v>
      </c>
      <c r="I105" s="188" t="s">
        <v>18482</v>
      </c>
    </row>
    <row r="106" spans="1:9" ht="13.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1.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3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2.5">
      <c r="A122" s="126" t="str">
        <f t="shared" si="7"/>
        <v>DefinitionsC14</v>
      </c>
      <c r="B122" s="126" t="s">
        <v>607</v>
      </c>
      <c r="C122" s="126" t="s">
        <v>783</v>
      </c>
      <c r="D122" s="126" t="s">
        <v>765</v>
      </c>
      <c r="E122" s="240" t="s">
        <v>766</v>
      </c>
      <c r="F122" s="241" t="s">
        <v>767</v>
      </c>
      <c r="G122" s="126" t="s">
        <v>768</v>
      </c>
      <c r="H122" s="276" t="s">
        <v>769</v>
      </c>
      <c r="I122" s="126" t="s">
        <v>18500</v>
      </c>
    </row>
    <row r="123" spans="1:9" ht="41.5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1.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43">
      <c r="A133" s="126" t="str">
        <f t="shared" si="7"/>
        <v>DefinitionsC25</v>
      </c>
      <c r="B133" s="126" t="s">
        <v>607</v>
      </c>
      <c r="C133" s="126" t="s">
        <v>19313</v>
      </c>
      <c r="D133" s="126" t="s">
        <v>804</v>
      </c>
      <c r="E133" s="240" t="s">
        <v>805</v>
      </c>
      <c r="F133" s="241" t="s">
        <v>806</v>
      </c>
      <c r="G133" s="248" t="s">
        <v>807</v>
      </c>
      <c r="H133" s="276" t="s">
        <v>808</v>
      </c>
      <c r="I133" s="126" t="s">
        <v>18505</v>
      </c>
    </row>
    <row r="134" spans="1:9" ht="121.5">
      <c r="A134" s="126" t="str">
        <f t="shared" si="7"/>
        <v>DefinitionsC26</v>
      </c>
      <c r="B134" s="126" t="s">
        <v>607</v>
      </c>
      <c r="C134" s="126" t="s">
        <v>19373</v>
      </c>
      <c r="D134" s="246" t="s">
        <v>810</v>
      </c>
      <c r="E134" s="247" t="s">
        <v>811</v>
      </c>
      <c r="F134" s="254" t="s">
        <v>812</v>
      </c>
      <c r="G134" s="255" t="s">
        <v>813</v>
      </c>
      <c r="H134" s="276" t="s">
        <v>814</v>
      </c>
      <c r="I134" s="126" t="s">
        <v>18506</v>
      </c>
    </row>
    <row r="135" spans="1:9" ht="81.75">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ht="27">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0.9">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
      <c r="A143" s="126" t="str">
        <f t="shared" si="7"/>
        <v>DeclarationB8</v>
      </c>
      <c r="B143" s="126" t="s">
        <v>821</v>
      </c>
      <c r="C143" s="126" t="s">
        <v>643</v>
      </c>
      <c r="D143" s="126" t="s">
        <v>859</v>
      </c>
      <c r="E143" s="240" t="s">
        <v>860</v>
      </c>
      <c r="F143" s="241" t="s">
        <v>861</v>
      </c>
      <c r="G143" s="126" t="s">
        <v>862</v>
      </c>
      <c r="H143" s="276" t="s">
        <v>863</v>
      </c>
      <c r="I143" s="126" t="s">
        <v>18515</v>
      </c>
    </row>
    <row r="144" spans="1:9" ht="1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ht="27">
      <c r="A146" s="126" t="str">
        <f t="shared" si="7"/>
        <v>DeclarationB10A</v>
      </c>
      <c r="B146" s="126" t="s">
        <v>821</v>
      </c>
      <c r="C146" s="126" t="s">
        <v>874</v>
      </c>
      <c r="D146" s="126" t="s">
        <v>869</v>
      </c>
      <c r="E146" s="240" t="s">
        <v>870</v>
      </c>
      <c r="F146" s="241" t="s">
        <v>875</v>
      </c>
      <c r="G146" s="126" t="s">
        <v>872</v>
      </c>
      <c r="H146" s="276" t="s">
        <v>873</v>
      </c>
      <c r="I146" s="126" t="s">
        <v>18517</v>
      </c>
    </row>
    <row r="147" spans="1:9" ht="27">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ht="13.9">
      <c r="A155" s="126" t="str">
        <f t="shared" si="10"/>
        <v>DeclarationB19</v>
      </c>
      <c r="B155" s="126" t="s">
        <v>821</v>
      </c>
      <c r="C155" s="126" t="s">
        <v>18602</v>
      </c>
      <c r="D155" s="126" t="s">
        <v>909</v>
      </c>
      <c r="E155" s="240" t="s">
        <v>910</v>
      </c>
      <c r="F155" s="241" t="s">
        <v>911</v>
      </c>
      <c r="G155" s="126" t="s">
        <v>912</v>
      </c>
      <c r="H155" s="276" t="s">
        <v>913</v>
      </c>
      <c r="I155" s="126" t="s">
        <v>18524</v>
      </c>
    </row>
    <row r="156" spans="1:9" ht="13.9">
      <c r="A156" s="126" t="str">
        <f t="shared" si="10"/>
        <v>DeclarationB20</v>
      </c>
      <c r="B156" s="126" t="s">
        <v>821</v>
      </c>
      <c r="C156" s="126" t="s">
        <v>18603</v>
      </c>
      <c r="D156" s="126" t="s">
        <v>914</v>
      </c>
      <c r="E156" s="240" t="s">
        <v>915</v>
      </c>
      <c r="F156" s="241" t="s">
        <v>916</v>
      </c>
      <c r="G156" s="126" t="s">
        <v>917</v>
      </c>
      <c r="H156" s="276" t="s">
        <v>918</v>
      </c>
      <c r="I156" s="126" t="s">
        <v>18525</v>
      </c>
    </row>
    <row r="157" spans="1:9" ht="13.9">
      <c r="A157" s="126" t="str">
        <f t="shared" si="10"/>
        <v>DeclarationB21</v>
      </c>
      <c r="B157" s="126" t="s">
        <v>821</v>
      </c>
      <c r="C157" s="126" t="s">
        <v>18604</v>
      </c>
      <c r="D157" s="126" t="s">
        <v>919</v>
      </c>
      <c r="E157" s="240" t="s">
        <v>920</v>
      </c>
      <c r="F157" s="241" t="s">
        <v>921</v>
      </c>
      <c r="G157" s="126" t="s">
        <v>922</v>
      </c>
      <c r="H157" s="276" t="s">
        <v>923</v>
      </c>
      <c r="I157" s="126" t="s">
        <v>18526</v>
      </c>
    </row>
    <row r="158" spans="1:9" ht="13.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ht="13.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ht="13.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0.6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7.4">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7.4">
      <c r="A168" s="126" t="str">
        <f t="shared" si="10"/>
        <v>DeclarationB77</v>
      </c>
      <c r="B168" s="126" t="s">
        <v>821</v>
      </c>
      <c r="C168" s="126" t="s">
        <v>18619</v>
      </c>
      <c r="D168" s="126" t="s">
        <v>954</v>
      </c>
      <c r="E168" s="240" t="s">
        <v>955</v>
      </c>
      <c r="F168" s="271" t="s">
        <v>956</v>
      </c>
      <c r="G168" s="126" t="s">
        <v>957</v>
      </c>
      <c r="H168" s="276" t="s">
        <v>958</v>
      </c>
      <c r="I168" s="126" t="s">
        <v>18593</v>
      </c>
    </row>
    <row r="169" spans="1:9" ht="40.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ht="27">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51">
      <c r="A174" s="126" t="str">
        <f t="shared" si="10"/>
        <v>Declaration</v>
      </c>
      <c r="B174" s="126" t="s">
        <v>821</v>
      </c>
      <c r="D174" s="126" t="s">
        <v>977</v>
      </c>
      <c r="E174" s="240" t="s">
        <v>978</v>
      </c>
      <c r="F174" s="260" t="s">
        <v>979</v>
      </c>
      <c r="G174" s="126" t="s">
        <v>980</v>
      </c>
      <c r="H174" s="276" t="s">
        <v>981</v>
      </c>
      <c r="I174" s="126"/>
    </row>
    <row r="175" spans="1:9" ht="67.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0.5">
      <c r="A178" s="126" t="str">
        <f t="shared" si="10"/>
        <v>DeclarationB135</v>
      </c>
      <c r="B178" s="126" t="s">
        <v>821</v>
      </c>
      <c r="C178" s="126" t="s">
        <v>18628</v>
      </c>
      <c r="D178" s="126" t="s">
        <v>986</v>
      </c>
      <c r="E178" s="240" t="s">
        <v>12190</v>
      </c>
      <c r="F178" s="241" t="s">
        <v>987</v>
      </c>
      <c r="G178" s="126" t="s">
        <v>988</v>
      </c>
      <c r="H178" s="276" t="s">
        <v>989</v>
      </c>
      <c r="I178" s="126" t="s">
        <v>18535</v>
      </c>
    </row>
    <row r="179" spans="1:9" ht="27">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ht="27">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ht="13.9">
      <c r="A195" s="126" t="str">
        <f t="shared" si="10"/>
        <v>Smelter ListB4</v>
      </c>
      <c r="B195" s="126" t="s">
        <v>1078</v>
      </c>
      <c r="C195" s="126" t="s">
        <v>619</v>
      </c>
      <c r="D195" s="126" t="s">
        <v>1084</v>
      </c>
      <c r="E195" s="240" t="s">
        <v>19592</v>
      </c>
      <c r="F195" s="241" t="s">
        <v>1085</v>
      </c>
      <c r="G195" s="126" t="s">
        <v>1086</v>
      </c>
      <c r="H195" s="276" t="s">
        <v>1087</v>
      </c>
      <c r="I195" s="188" t="s">
        <v>19586</v>
      </c>
    </row>
    <row r="196" spans="1:9" ht="13.9">
      <c r="A196" s="126" t="str">
        <f t="shared" si="10"/>
        <v>Smelter ListC4</v>
      </c>
      <c r="B196" s="126" t="s">
        <v>1078</v>
      </c>
      <c r="C196" s="126" t="s">
        <v>733</v>
      </c>
      <c r="D196" s="126" t="s">
        <v>1030</v>
      </c>
      <c r="E196" s="274" t="s">
        <v>1031</v>
      </c>
      <c r="F196" s="271" t="s">
        <v>1032</v>
      </c>
      <c r="G196" s="126" t="s">
        <v>1033</v>
      </c>
      <c r="H196" s="276" t="s">
        <v>1034</v>
      </c>
      <c r="I196" s="188" t="s">
        <v>18550</v>
      </c>
    </row>
    <row r="197" spans="1:9" ht="25.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7">
      <c r="A205" s="126" t="str">
        <f t="shared" si="10"/>
        <v>Smelter ListN4</v>
      </c>
      <c r="B205" s="126" t="s">
        <v>1078</v>
      </c>
      <c r="C205" s="126" t="s">
        <v>1112</v>
      </c>
      <c r="D205" s="126" t="s">
        <v>1113</v>
      </c>
      <c r="E205" s="240" t="s">
        <v>1114</v>
      </c>
      <c r="F205" s="241" t="s">
        <v>1115</v>
      </c>
      <c r="G205" s="126" t="s">
        <v>1116</v>
      </c>
      <c r="H205" s="276" t="s">
        <v>1117</v>
      </c>
      <c r="I205" s="126" t="s">
        <v>18564</v>
      </c>
    </row>
    <row r="206" spans="1:9" ht="27">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5.5">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7.4">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25">
      <c r="A265" s="126" t="str">
        <f t="shared" si="11"/>
        <v>CheckerJ45</v>
      </c>
      <c r="B265" s="126" t="s">
        <v>1154</v>
      </c>
      <c r="C265" s="126" t="s">
        <v>18953</v>
      </c>
      <c r="D265" s="246"/>
      <c r="E265" s="247"/>
      <c r="F265" s="253"/>
      <c r="G265" s="251"/>
      <c r="H265" s="276"/>
      <c r="I265" s="126"/>
    </row>
    <row r="266" spans="1:9" ht="14.25">
      <c r="A266" s="126" t="str">
        <f t="shared" si="11"/>
        <v>CheckerJ46</v>
      </c>
      <c r="B266" s="126" t="s">
        <v>1154</v>
      </c>
      <c r="C266" s="126" t="s">
        <v>18954</v>
      </c>
      <c r="D266" s="246"/>
      <c r="E266" s="247"/>
      <c r="F266" s="253"/>
      <c r="G266" s="251"/>
      <c r="H266" s="276"/>
      <c r="I266" s="126"/>
    </row>
    <row r="267" spans="1:9" ht="14.25">
      <c r="A267" s="126" t="str">
        <f t="shared" si="11"/>
        <v>CheckerJ47</v>
      </c>
      <c r="B267" s="126" t="s">
        <v>1154</v>
      </c>
      <c r="C267" s="126" t="s">
        <v>18955</v>
      </c>
      <c r="D267" s="246"/>
      <c r="E267" s="247"/>
      <c r="F267" s="253"/>
      <c r="G267" s="251"/>
      <c r="H267" s="276"/>
      <c r="I267" s="126"/>
    </row>
    <row r="268" spans="1:9" ht="14.2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25">
      <c r="A275" s="126" t="str">
        <f t="shared" si="11"/>
        <v>CheckerJ56</v>
      </c>
      <c r="B275" s="126" t="s">
        <v>1154</v>
      </c>
      <c r="C275" s="126" t="s">
        <v>18963</v>
      </c>
      <c r="D275" s="246"/>
      <c r="E275" s="247"/>
      <c r="F275" s="253"/>
      <c r="G275" s="251"/>
      <c r="H275" s="276"/>
      <c r="I275" s="126"/>
    </row>
    <row r="276" spans="1:9" ht="14.25">
      <c r="A276" s="126" t="str">
        <f t="shared" si="11"/>
        <v>CheckerJ57</v>
      </c>
      <c r="B276" s="126" t="s">
        <v>1154</v>
      </c>
      <c r="C276" s="126" t="s">
        <v>18964</v>
      </c>
      <c r="D276" s="246"/>
      <c r="E276" s="247"/>
      <c r="F276" s="253"/>
      <c r="G276" s="251"/>
      <c r="H276" s="276"/>
      <c r="I276" s="126"/>
    </row>
    <row r="277" spans="1:9" ht="14.25">
      <c r="A277" s="126" t="str">
        <f t="shared" si="11"/>
        <v>CheckerJ58</v>
      </c>
      <c r="B277" s="126" t="s">
        <v>1154</v>
      </c>
      <c r="C277" s="126" t="s">
        <v>18965</v>
      </c>
      <c r="D277" s="246"/>
      <c r="E277" s="247"/>
      <c r="F277" s="253"/>
      <c r="G277" s="251"/>
      <c r="H277" s="276"/>
      <c r="I277" s="126"/>
    </row>
    <row r="278" spans="1:9" ht="14.2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25">
      <c r="A285" s="126" t="str">
        <f t="shared" si="12"/>
        <v>CheckerJ67</v>
      </c>
      <c r="B285" s="126" t="s">
        <v>1154</v>
      </c>
      <c r="C285" s="126" t="s">
        <v>18973</v>
      </c>
      <c r="G285" s="311"/>
      <c r="H285" s="276"/>
      <c r="I285" s="126"/>
    </row>
    <row r="286" spans="1:9" ht="14.2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0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0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05" customHeight="1">
      <c r="A295" s="126" t="str">
        <f t="shared" si="12"/>
        <v>CheckerJ78</v>
      </c>
      <c r="B295" s="126" t="s">
        <v>1154</v>
      </c>
      <c r="C295" s="126" t="s">
        <v>18981</v>
      </c>
      <c r="G295"/>
      <c r="H295" s="276"/>
    </row>
    <row r="296" spans="1:9" ht="52.05" customHeight="1">
      <c r="A296" s="126" t="str">
        <f t="shared" si="12"/>
        <v>CheckerJ79</v>
      </c>
      <c r="B296" s="126" t="s">
        <v>1154</v>
      </c>
      <c r="C296" s="126" t="s">
        <v>18982</v>
      </c>
      <c r="G296"/>
      <c r="H296" s="276"/>
    </row>
    <row r="297" spans="1:9" ht="52.0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4">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25">
      <c r="A318" s="126" t="str">
        <f t="shared" si="12"/>
        <v>CheckerJ104</v>
      </c>
      <c r="B318" s="126" t="s">
        <v>1154</v>
      </c>
      <c r="C318" s="126" t="s">
        <v>19014</v>
      </c>
      <c r="D318" s="246"/>
      <c r="E318" s="247"/>
      <c r="F318" s="253"/>
      <c r="G318" s="310"/>
      <c r="H318" s="276"/>
      <c r="I318" s="126"/>
    </row>
    <row r="319" spans="1:9" ht="14.25">
      <c r="A319" s="126" t="str">
        <f t="shared" si="12"/>
        <v>CheckerJ105</v>
      </c>
      <c r="B319" s="126" t="s">
        <v>1154</v>
      </c>
      <c r="C319" s="126" t="s">
        <v>19015</v>
      </c>
      <c r="D319" s="246"/>
      <c r="E319" s="247"/>
      <c r="F319" s="253"/>
      <c r="G319" s="310"/>
      <c r="H319" s="276"/>
      <c r="I319" s="126"/>
    </row>
    <row r="320" spans="1:9" ht="14.25">
      <c r="A320" s="126" t="str">
        <f t="shared" si="12"/>
        <v>CheckerJ106</v>
      </c>
      <c r="B320" s="126" t="s">
        <v>1154</v>
      </c>
      <c r="C320" s="126" t="s">
        <v>19016</v>
      </c>
      <c r="D320" s="246"/>
      <c r="E320" s="247"/>
      <c r="F320" s="253"/>
      <c r="G320" s="310"/>
      <c r="H320" s="276"/>
      <c r="I320" s="126"/>
    </row>
    <row r="321" spans="1:9" ht="14.2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49999999999997"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05" customHeight="1">
      <c r="A336" s="126" t="str">
        <f t="shared" si="12"/>
        <v>Checker</v>
      </c>
      <c r="B336" s="126" t="s">
        <v>1154</v>
      </c>
      <c r="D336" s="126" t="s">
        <v>1259</v>
      </c>
      <c r="E336" s="244" t="s">
        <v>1260</v>
      </c>
      <c r="F336" s="241" t="s">
        <v>1261</v>
      </c>
      <c r="G336" s="248" t="s">
        <v>1262</v>
      </c>
      <c r="H336" s="276" t="s">
        <v>1263</v>
      </c>
      <c r="I336" s="126" t="s">
        <v>18592</v>
      </c>
    </row>
    <row r="337" spans="1:9" ht="40.5">
      <c r="A337" s="126" t="str">
        <f t="shared" si="12"/>
        <v>Product ListA1</v>
      </c>
      <c r="B337" s="126" t="s">
        <v>54</v>
      </c>
      <c r="C337" s="126" t="s">
        <v>368</v>
      </c>
      <c r="D337" s="144" t="s">
        <v>1264</v>
      </c>
      <c r="E337" s="268" t="s">
        <v>1265</v>
      </c>
      <c r="F337" s="269" t="s">
        <v>1266</v>
      </c>
      <c r="G337" s="270" t="s">
        <v>1267</v>
      </c>
      <c r="H337" s="276" t="s">
        <v>1268</v>
      </c>
      <c r="I337" s="291" t="s">
        <v>18596</v>
      </c>
    </row>
    <row r="338" spans="1:9" ht="13.9">
      <c r="A338" s="126" t="str">
        <f t="shared" si="12"/>
        <v>Product ListB5</v>
      </c>
      <c r="B338" s="126" t="s">
        <v>54</v>
      </c>
      <c r="C338" s="126" t="s">
        <v>625</v>
      </c>
      <c r="D338" s="144" t="s">
        <v>19152</v>
      </c>
      <c r="E338" s="268" t="s">
        <v>19854</v>
      </c>
      <c r="F338" s="241" t="s">
        <v>19849</v>
      </c>
      <c r="G338" s="144" t="s">
        <v>19973</v>
      </c>
      <c r="H338" s="276" t="s">
        <v>19850</v>
      </c>
      <c r="I338" s="292" t="s">
        <v>19852</v>
      </c>
    </row>
    <row r="339" spans="1:9" ht="13.9">
      <c r="A339" s="126" t="str">
        <f t="shared" si="12"/>
        <v>Product ListC5</v>
      </c>
      <c r="B339" s="126" t="s">
        <v>54</v>
      </c>
      <c r="C339" s="126" t="s">
        <v>739</v>
      </c>
      <c r="D339" s="144" t="s">
        <v>19153</v>
      </c>
      <c r="E339" s="268" t="s">
        <v>19855</v>
      </c>
      <c r="F339" s="241" t="s">
        <v>19967</v>
      </c>
      <c r="G339" s="144" t="s">
        <v>19954</v>
      </c>
      <c r="H339" s="276" t="s">
        <v>19851</v>
      </c>
      <c r="I339" s="292" t="s">
        <v>19853</v>
      </c>
    </row>
    <row r="340" spans="1:9" ht="13.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769E3FE-A48B-4747-92B1-EEB3B03E6DC4}"/>
    </customSheetView>
    <customSheetView guid="{4BDF1A28-30D5-449D-B20E-D6C97EF9FAE1}" showAutoFilter="1">
      <selection activeCell="C174" sqref="C174"/>
      <pageMargins left="0" right="0" top="0" bottom="0" header="0" footer="0"/>
      <pageSetup paperSize="9" orientation="portrait"/>
      <autoFilter ref="B1:N1" xr:uid="{0D0B3587-CD6D-44B2-8B4F-DA1E6486DA6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03125" defaultRowHeight="12.4"/>
  <cols>
    <col min="1" max="1" width="20.46875" style="57" customWidth="1"/>
    <col min="2" max="2" width="57" style="57" customWidth="1"/>
    <col min="3" max="16384" width="8.7031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203125" defaultRowHeight="12.4"/>
  <cols>
    <col min="2" max="2" width="27.29296875" customWidth="1"/>
    <col min="3" max="3" width="15.2929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8BBE2171-393C-4679-9F64-F2D7969D636F}"/>
    </customSheetView>
    <customSheetView guid="{4BDF1A28-30D5-449D-B20E-D6C97EF9FAE1}" showAutoFilter="1">
      <selection activeCell="C1" sqref="C1:D65536"/>
      <pageMargins left="0" right="0" top="0" bottom="0" header="0" footer="0"/>
      <pageSetup orientation="portrait"/>
      <autoFilter ref="B1:C1" xr:uid="{60D45D07-D648-4FCA-A9F4-4858FBA0E1E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6" activePane="bottomRight" state="frozen"/>
      <selection pane="topRight" activeCell="B24" sqref="B24:J24"/>
      <selection pane="bottomLeft" activeCell="B24" sqref="B24:J24"/>
      <selection pane="bottomRight" activeCell="K11" sqref="K11"/>
    </sheetView>
  </sheetViews>
  <sheetFormatPr baseColWidth="10" defaultColWidth="11" defaultRowHeight="12.4"/>
  <cols>
    <col min="1" max="1" width="1" customWidth="1"/>
    <col min="2" max="2" width="10" customWidth="1"/>
    <col min="3" max="3" width="11.46875" customWidth="1"/>
    <col min="4" max="4" width="17" style="148" customWidth="1"/>
    <col min="5" max="5" width="42.17578125" customWidth="1"/>
    <col min="6" max="6" width="53.17578125" customWidth="1"/>
    <col min="7" max="7" width="1" customWidth="1"/>
  </cols>
  <sheetData>
    <row r="1" spans="1:7" ht="12.7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4.6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6.25">
      <c r="A13" s="387"/>
      <c r="B13" s="287">
        <v>1</v>
      </c>
      <c r="C13" s="225" t="s">
        <v>12</v>
      </c>
      <c r="D13" s="226">
        <v>44489</v>
      </c>
      <c r="E13" s="225" t="s">
        <v>12182</v>
      </c>
      <c r="F13" s="227" t="s">
        <v>12191</v>
      </c>
      <c r="G13" s="24"/>
    </row>
    <row r="14" spans="1:7" ht="56.25">
      <c r="A14" s="387"/>
      <c r="B14" s="224">
        <v>1.01</v>
      </c>
      <c r="C14" s="225" t="s">
        <v>12</v>
      </c>
      <c r="D14" s="226">
        <v>44523</v>
      </c>
      <c r="E14" s="225" t="s">
        <v>12183</v>
      </c>
      <c r="F14" s="227" t="s">
        <v>12191</v>
      </c>
      <c r="G14" s="24"/>
    </row>
    <row r="15" spans="1:7" ht="56.2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2.75" thickBot="1">
      <c r="A21" s="388"/>
      <c r="B21" s="392" t="str">
        <f ca="1">OFFSET(L!$C$1,MATCH("General"&amp;"Cpy",L!$A:$A,0)-1,SL,,)</f>
        <v>© 2025 Responsible Minerals Initiative. All rights reserved.</v>
      </c>
      <c r="C21" s="392"/>
      <c r="D21" s="392"/>
      <c r="E21" s="392"/>
      <c r="F21" s="392"/>
      <c r="G21" s="25"/>
    </row>
    <row r="22" spans="1:7" ht="12.7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25" activePane="bottomLeft" state="frozen"/>
      <selection activeCell="B24" sqref="B24:J24"/>
      <selection pane="bottomLeft" activeCell="B3" sqref="B3"/>
    </sheetView>
  </sheetViews>
  <sheetFormatPr baseColWidth="10" defaultColWidth="9" defaultRowHeight="12.4"/>
  <cols>
    <col min="1" max="1" width="1.703125" style="156" customWidth="1"/>
    <col min="2" max="2" width="35.46875" style="156" customWidth="1"/>
    <col min="3" max="3" width="105.46875" style="156" customWidth="1"/>
    <col min="4" max="5" width="1.703125" style="156" customWidth="1"/>
    <col min="6" max="6" width="52" style="156" customWidth="1"/>
    <col min="7" max="7" width="5" style="156" customWidth="1"/>
    <col min="8" max="16384" width="9" style="156"/>
  </cols>
  <sheetData>
    <row r="1" spans="1:8" ht="90.75" customHeight="1" thickTop="1">
      <c r="A1" s="393"/>
      <c r="B1" s="394"/>
      <c r="C1" s="394"/>
      <c r="D1" s="395"/>
    </row>
    <row r="2" spans="1:8" ht="14.65">
      <c r="A2" s="176"/>
      <c r="B2" s="177" t="str">
        <f ca="1">OFFSET(L!$C$1,MATCH("Definitions"&amp;ADDRESS(ROW(),COLUMN(),4),L!$A:$A,0)-1,SL,,)</f>
        <v>Posten</v>
      </c>
      <c r="C2" s="177" t="str">
        <f ca="1">OFFSET(L!$C$1,MATCH("Definitions"&amp;ADDRESS(ROW(),COLUMN(),4),L!$A:$A,0)-1,SL,,)</f>
        <v>Definition</v>
      </c>
      <c r="D2" s="397"/>
      <c r="E2" s="178"/>
    </row>
    <row r="3" spans="1:8" ht="43.9">
      <c r="A3" s="176"/>
      <c r="B3" s="177" t="str">
        <f ca="1">OFFSET(L!$C$1,MATCH("Definitions"&amp;ADDRESS(ROW(),COLUMN(),4),L!$A:$A,0)-1,SL,,)</f>
        <v>Bevollmächtigter</v>
      </c>
      <c r="C3" s="177"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397"/>
      <c r="E3" s="179"/>
    </row>
    <row r="4" spans="1:8" ht="58.5">
      <c r="A4" s="176"/>
      <c r="B4" s="177" t="str">
        <f ca="1">OFFSET(L!$C$1,MATCH("Definitions"&amp;ADDRESS(ROW(),COLUMN(),4),L!$A:$A,0)-1,SL,,)</f>
        <v>Cobalt (Co) Raffinerie (Schmelzhutte)</v>
      </c>
      <c r="C4" s="177" t="str">
        <f ca="1">OFFSET(L!$C$1,MATCH("Definitions"&amp;ADDRESS(ROW(),COLUMN(),4),L!$A:$A,0)-1,SL,,)</f>
        <v>Ein Unternehmen, das Cobaltkonzentrate, Zwischenprodukte oder recycelte Rohstoffe verarbeitet und ein Cobaltprodukt zur direkten Verwendung in einem nachgelagerten Herstellungsprozess herstellt.</v>
      </c>
      <c r="D4" s="397"/>
      <c r="E4" s="179" t="s">
        <v>13</v>
      </c>
    </row>
    <row r="5" spans="1:8" ht="117">
      <c r="A5" s="176"/>
      <c r="B5" s="177" t="str">
        <f ca="1">OFFSET(L!$C$1,MATCH("Definitions"&amp;ADDRESS(ROW(),COLUMN(),4),L!$A:$A,0)-1,SL,,)</f>
        <v>Konflikt- und Hochrisikogebiete (CAHRA)</v>
      </c>
      <c r="C5" s="177"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97"/>
      <c r="E5" s="179"/>
    </row>
    <row r="6" spans="1:8" ht="58.5">
      <c r="A6" s="176"/>
      <c r="B6" s="177" t="str">
        <f ca="1">OFFSET(L!$C$1,MATCH("Definitions"&amp;ADDRESS(ROW(),COLUMN(),4),L!$A:$A,0)-1,SL,,)</f>
        <v>Kupferverarbeiter*</v>
      </c>
      <c r="C6" s="177" t="str">
        <f ca="1">OFFSET(L!$C$1,MATCH("Definitions"&amp;ADDRESS(ROW(),COLUMN(),4),L!$A:$A,0)-1,SL,,)</f>
        <v>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v>
      </c>
      <c r="D6" s="397"/>
      <c r="E6" s="179"/>
    </row>
    <row r="7" spans="1:8" ht="131.65">
      <c r="A7" s="176"/>
      <c r="B7" s="177" t="str">
        <f ca="1">OFFSET(L!$C$1,MATCH("Definitions"&amp;ADDRESS(ROW(),COLUMN(),4),L!$A:$A,0)-1,SL,,)</f>
        <v>Erklärung Anwendungsbereich oder Klasse</v>
      </c>
      <c r="C7" s="177"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97"/>
      <c r="E7" s="179" t="s">
        <v>14</v>
      </c>
    </row>
    <row r="8" spans="1:8" ht="91.5" customHeight="1">
      <c r="A8" s="176"/>
      <c r="B8" s="177" t="str">
        <f ca="1">OFFSET(L!$C$1,MATCH("Definitions"&amp;ADDRESS(ROW(),COLUMN(),4),L!$A:$A,0)-1,SL,,)</f>
        <v>Sorgfaltspflicht</v>
      </c>
      <c r="C8" s="177"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8" s="397"/>
      <c r="E8" s="179"/>
    </row>
    <row r="9" spans="1:8" ht="58.5">
      <c r="A9" s="176"/>
      <c r="B9" s="177" t="str">
        <f ca="1">OFFSET(L!$C$1,MATCH("Definitions"&amp;ADDRESS(ROW(),COLUMN(),4),L!$A:$A,0)-1,SL,,)</f>
        <v>Natürlicher Graphit*</v>
      </c>
      <c r="C9" s="177" t="str">
        <f ca="1">OFFSET(L!$C$1,MATCH("Definitions"&amp;ADDRESS(ROW(),COLUMN(),4),L!$A:$A,0)-1,SL,,)</f>
        <v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v>
      </c>
      <c r="D9" s="397"/>
      <c r="E9" s="179" t="s">
        <v>15</v>
      </c>
    </row>
    <row r="10" spans="1:8" ht="73.150000000000006">
      <c r="A10" s="176"/>
      <c r="B10" s="177" t="str">
        <f ca="1">OFFSET(L!$C$1,MATCH("Definitions"&amp;ADDRESS(ROW(),COLUMN(),4),L!$A:$A,0)-1,SL,,)</f>
        <v>Hersteller von Graphit*</v>
      </c>
      <c r="C10" s="177" t="str">
        <f ca="1">OFFSET(L!$C$1,MATCH("Definitions"&amp;ADDRESS(ROW(),COLUMN(),4),L!$A:$A,0)-1,SL,,)</f>
        <v>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v>
      </c>
      <c r="D10" s="397"/>
      <c r="E10" s="179" t="s">
        <v>16</v>
      </c>
    </row>
    <row r="11" spans="1:8" ht="58.5">
      <c r="A11" s="176"/>
      <c r="B11" s="177" t="str">
        <f ca="1">OFFSET(L!$C$1,MATCH("Definitions"&amp;ADDRESS(ROW(),COLUMN(),4),L!$A:$A,0)-1,SL,,)</f>
        <v>Unabhängige Private Wirtschaftsprüfungsgesellschaft</v>
      </c>
      <c r="C11" s="177"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1" s="397"/>
      <c r="E11" s="179" t="s">
        <v>15</v>
      </c>
      <c r="H11" s="156">
        <v>14</v>
      </c>
    </row>
    <row r="12" spans="1:8" ht="29.25">
      <c r="A12" s="176"/>
      <c r="B12" s="177" t="str">
        <f ca="1">OFFSET(L!$C$1,MATCH("Definitions"&amp;ADDRESS(ROW(),COLUMN(),4),L!$A:$A,0)-1,SL,,)</f>
        <v>Absichtlich hinzugefügt</v>
      </c>
      <c r="C12" s="177" t="str">
        <f ca="1">OFFSET(L!$C$1,MATCH("Definitions"&amp;ADDRESS(ROW(),COLUMN(),4),L!$A:$A,0)-1,SL,,)</f>
        <v>"Absichtlich hinzugefügt" bezieht sich im Allgemeinen auf Ein Stoff, der in einer oder mehreren Phasen des Produktlebenszyklus verwendet wird, um eine bestimmte Eigenschaft, Reaktion oder Qualität zu erzielen.</v>
      </c>
      <c r="D12" s="397"/>
      <c r="E12" s="179"/>
    </row>
    <row r="13" spans="1:8" ht="73.150000000000006">
      <c r="A13" s="176"/>
      <c r="B13" s="177" t="str">
        <f ca="1">OFFSET(L!$C$1,MATCH("Definitions"&amp;ADDRESS(ROW(),COLUMN(),4),L!$A:$A,0)-1,SL,,)</f>
        <v>Lithiumverarbeiter*</v>
      </c>
      <c r="C13" s="177" t="str">
        <f ca="1">OFFSET(L!$C$1,MATCH("Definitions"&amp;ADDRESS(ROW(),COLUMN(),4),L!$A:$A,0)-1,SL,,)</f>
        <v>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v>
      </c>
      <c r="D13" s="397"/>
      <c r="E13" s="179"/>
    </row>
    <row r="14" spans="1:8" ht="102.4">
      <c r="A14" s="176"/>
      <c r="B14" s="177" t="str">
        <f ca="1">OFFSET(L!$C$1,MATCH("Definitions"&amp;ADDRESS(ROW(),COLUMN(),4),L!$A:$A,0)-1,SL,,)</f>
        <v>OECD</v>
      </c>
      <c r="C14" s="177"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4" s="397"/>
      <c r="E14" s="179"/>
    </row>
    <row r="15" spans="1:8" ht="14.65">
      <c r="A15" s="176"/>
      <c r="B15" s="177" t="str">
        <f ca="1">OFFSET(L!$C$1,MATCH("Definitions"&amp;ADDRESS(ROW(),COLUMN(),4),L!$A:$A,0)-1,SL,,)</f>
        <v>Natürlicher Glimmer</v>
      </c>
      <c r="C15" s="177" t="str">
        <f ca="1">OFFSET(L!$C$1,MATCH("Definitions"&amp;ADDRESS(ROW(),COLUMN(),4),L!$A:$A,0)-1,SL,,)</f>
        <v>Natürlicher Glimmer ist ein Mineral, das abgebaut wird oder natürlich vorkommt, wie Muskovite und Phlogopite.</v>
      </c>
      <c r="D15" s="397"/>
      <c r="E15" s="179"/>
    </row>
    <row r="16" spans="1:8" ht="43.9">
      <c r="A16" s="176"/>
      <c r="B16" s="177" t="str">
        <f ca="1">OFFSET(L!$C$1,MATCH("Definitions"&amp;ADDRESS(ROW(),COLUMN(),4),L!$A:$A,0)-1,SL,,)</f>
        <v>Synthetischer Glimmer (Fluorophlogopite)</v>
      </c>
      <c r="C16" s="177" t="str">
        <f ca="1">OFFSET(L!$C$1,MATCH("Definitions"&amp;ADDRESS(ROW(),COLUMN(),4),L!$A:$A,0)-1,SL,,)</f>
        <v xml:space="preserve">Synthetischer Glimmer (Fluorophlogopite) ist ein von Menschen hergestelltes Material, das aus Materialien wie Magnesium, Aluminium und Silizium besteht. </v>
      </c>
      <c r="D16" s="397"/>
      <c r="E16" s="179" t="s">
        <v>15</v>
      </c>
    </row>
    <row r="17" spans="1:5" ht="73.150000000000006">
      <c r="A17" s="176"/>
      <c r="B17" s="177" t="str">
        <f ca="1">OFFSET(L!$C$1,MATCH("Definitions"&amp;ADDRESS(ROW(),COLUMN(),4),L!$A:$A,0)-1,SL,,)</f>
        <v>Glimmerprozessor</v>
      </c>
      <c r="C17" s="177"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7" s="397"/>
      <c r="E17" s="179"/>
    </row>
    <row r="18" spans="1:5" ht="73.150000000000006">
      <c r="A18" s="176"/>
      <c r="B18" s="177" t="str">
        <f ca="1">OFFSET(L!$C$1,MATCH("Definitions"&amp;ADDRESS(ROW(),COLUMN(),4),L!$A:$A,0)-1,SL,,)</f>
        <v>Nickelverarbeiter*</v>
      </c>
      <c r="C18" s="177" t="str">
        <f ca="1">OFFSET(L!$C$1,MATCH("Definitions"&amp;ADDRESS(ROW(),COLUMN(),4),L!$A:$A,0)-1,SL,,)</f>
        <v>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v>
      </c>
      <c r="D18" s="397"/>
      <c r="E18" s="179"/>
    </row>
    <row r="19" spans="1:5" ht="87.75">
      <c r="A19" s="176"/>
      <c r="B19" s="177" t="str">
        <f ca="1">OFFSET(L!$C$1,MATCH("Definitions"&amp;ADDRESS(ROW(),COLUMN(),4),L!$A:$A,0)-1,SL,,)</f>
        <v>Prozessor</v>
      </c>
      <c r="C19" s="177" t="str">
        <f ca="1">OFFSET(L!$C$1,MATCH("Definitions"&amp;ADDRESS(ROW(),COLUMN(),4),L!$A:$A,0)-1,SL,,)</f>
        <v>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v>
      </c>
      <c r="D19" s="397"/>
      <c r="E19" s="179"/>
    </row>
    <row r="20" spans="1:5" ht="29.25">
      <c r="A20" s="176"/>
      <c r="B20" s="177" t="str">
        <f ca="1">OFFSET(L!$C$1,MATCH("Definitions"&amp;ADDRESS(ROW(),COLUMN(),4),L!$A:$A,0)-1,SL,,)</f>
        <v>Produkt</v>
      </c>
      <c r="C20" s="177"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97"/>
      <c r="E20" s="179"/>
    </row>
    <row r="21" spans="1:5" ht="102.4">
      <c r="A21" s="176"/>
      <c r="B21" s="177" t="str">
        <f ca="1">OFFSET(L!$C$1,MATCH("Definitions"&amp;ADDRESS(ROW(),COLUMN(),4),L!$A:$A,0)-1,SL,,)</f>
        <v>Recycling oder Schrott Quellen</v>
      </c>
      <c r="C21" s="177" t="str">
        <f ca="1">OFFSET(L!$C$1,MATCH("Definitions"&amp;ADDRESS(ROW(),COLUMN(),4),L!$A:$A,0)-1,SL,,)</f>
        <v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v>
      </c>
      <c r="D21" s="397"/>
      <c r="E21" s="179" t="s">
        <v>15</v>
      </c>
    </row>
    <row r="22" spans="1:5" ht="73.150000000000006">
      <c r="A22" s="176"/>
      <c r="B22" s="177" t="str">
        <f ca="1">OFFSET(L!$C$1,MATCH("Definitions"&amp;ADDRESS(ROW(),COLUMN(),4),L!$A:$A,0)-1,SL,,)</f>
        <v>Responsible Business Alliance (RBA)</v>
      </c>
      <c r="C22" s="177" t="str">
        <f ca="1">OFFSET(L!$C$1,MATCH("Definitions"&amp;ADDRESS(ROW(),COLUMN(),4),L!$A:$A,0)-1,SL,,)</f>
        <v>Die Responsible Business Alliance wurde 2004 gegründet und ist die weltweit größte Branchenkoalition, die sich der Verantwortung in der Elektroniklieferkette widmet. (http://www.responsiblebusiness.org)</v>
      </c>
      <c r="D22" s="397"/>
      <c r="E22" s="179" t="s">
        <v>16</v>
      </c>
    </row>
    <row r="23" spans="1:5" ht="58.5">
      <c r="A23" s="176"/>
      <c r="B23" s="177" t="str">
        <f ca="1">OFFSET(L!$C$1,MATCH("Definitions"&amp;ADDRESS(ROW(),COLUMN(),4),L!$A:$A,0)-1,SL,,)</f>
        <v>Responsible Minerals Assurance Process (RMAP)</v>
      </c>
      <c r="C23" s="177"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97"/>
      <c r="E23" s="179"/>
    </row>
    <row r="24" spans="1:5" ht="146.25">
      <c r="A24" s="176"/>
      <c r="B24" s="177" t="str">
        <f ca="1">OFFSET(L!$C$1,MATCH("Definitions"&amp;ADDRESS(ROW(),COLUMN(),4),L!$A:$A,0)-1,SL,,)</f>
        <v>Responsible Minerals Initiative</v>
      </c>
      <c r="C24" s="177"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97"/>
      <c r="E24" s="179" t="s">
        <v>15</v>
      </c>
    </row>
    <row r="25" spans="1:5" ht="131.65">
      <c r="A25" s="176"/>
      <c r="B25" s="177" t="str">
        <f ca="1">OFFSET(L!$C$1,MATCH("Definitions"&amp;ADDRESS(ROW(),COLUMN(),4),L!$A:$A,0)-1,SL,,)</f>
        <v>RMAP Konforme Smelter Liste</v>
      </c>
      <c r="C25" s="177"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97"/>
      <c r="E25" s="179" t="s">
        <v>13</v>
      </c>
    </row>
    <row r="26" spans="1:5" ht="73.150000000000006">
      <c r="A26" s="176"/>
      <c r="B26" s="177" t="str">
        <f ca="1">OFFSET(L!$C$1,MATCH("Definitions"&amp;ADDRESS(ROW(),COLUMN(),4),L!$A:$A,0)-1,SL,,)</f>
        <v>Schmelzhütte</v>
      </c>
      <c r="C26" s="177"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97"/>
      <c r="E26" s="179"/>
    </row>
    <row r="27" spans="1:5" ht="58.5">
      <c r="A27" s="176"/>
      <c r="B27" s="177" t="str">
        <f ca="1">OFFSET(L!$C$1,MATCH("Definitions"&amp;ADDRESS(ROW(),COLUMN(),4),L!$A:$A,0)-1,SL,,)</f>
        <v>Schmelzhütte Id-Nummer</v>
      </c>
      <c r="C27" s="177"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97"/>
      <c r="E27" s="179"/>
    </row>
    <row r="28" spans="1:5" ht="14.65">
      <c r="A28" s="176"/>
      <c r="B28" s="399" t="str">
        <f ca="1">OFFSET(L!$C$1,MATCH("Definitions"&amp;ADDRESS(ROW(),COLUMN(),4),L!$A:$A,0)-1,SL,,)</f>
        <v>* Weitere Informationen zu primären und sekundären Quellen für dieses Mineral finden Sie im EMRT-Leitfaden zum Ausfüllen.</v>
      </c>
      <c r="C28" s="399"/>
      <c r="D28" s="397"/>
      <c r="E28" s="179"/>
    </row>
    <row r="29" spans="1:5" ht="14.65">
      <c r="A29" s="176"/>
      <c r="B29" s="396" t="str">
        <f ca="1">OFFSET(L!$C$1,MATCH("General"&amp;"Cpy",L!$A:$A,0)-1,SL,,)</f>
        <v>© 2025 Responsible Minerals Initiative. All rights reserved.</v>
      </c>
      <c r="C29" s="396"/>
      <c r="D29" s="397"/>
      <c r="E29" s="179"/>
    </row>
    <row r="30" spans="1:5" ht="12.75" thickBot="1">
      <c r="A30" s="180"/>
      <c r="B30" s="181"/>
      <c r="C30" s="181"/>
      <c r="D30" s="398"/>
    </row>
    <row r="31" spans="1:5" ht="12.7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0" zoomScaleNormal="100" workbookViewId="0">
      <selection activeCell="B10" sqref="B10:B11"/>
    </sheetView>
  </sheetViews>
  <sheetFormatPr baseColWidth="10" defaultColWidth="9" defaultRowHeight="12.4"/>
  <cols>
    <col min="1" max="1" width="2" customWidth="1"/>
    <col min="2" max="2" width="84.17578125" customWidth="1"/>
    <col min="3" max="3" width="1.703125" customWidth="1"/>
    <col min="4" max="5" width="16.703125" customWidth="1"/>
    <col min="6" max="6" width="1.703125" customWidth="1"/>
    <col min="7" max="9" width="16.703125" customWidth="1"/>
    <col min="10" max="10" width="18" customWidth="1"/>
    <col min="11" max="11" width="3" customWidth="1"/>
    <col min="12" max="13" width="8.8203125" hidden="1" customWidth="1"/>
    <col min="14" max="14" width="24" hidden="1" customWidth="1"/>
    <col min="15" max="15" width="28.703125" hidden="1" customWidth="1"/>
    <col min="16" max="16" width="31" hidden="1" customWidth="1"/>
    <col min="17" max="17" width="33.29296875" hidden="1" customWidth="1"/>
    <col min="18" max="18" width="32" hidden="1" customWidth="1"/>
    <col min="19" max="19" width="21.29296875" hidden="1" customWidth="1"/>
    <col min="20" max="20" width="24.17578125" hidden="1" customWidth="1"/>
    <col min="21" max="21" width="15.46875" hidden="1" customWidth="1"/>
    <col min="22" max="22" width="18" hidden="1" customWidth="1"/>
    <col min="23" max="23" width="15" hidden="1" customWidth="1"/>
    <col min="24" max="24" width="18" hidden="1" customWidth="1"/>
    <col min="25" max="25" width="10.46875" hidden="1" customWidth="1"/>
    <col min="26" max="29" width="9" hidden="1" customWidth="1"/>
    <col min="30" max="32" width="9" customWidth="1"/>
  </cols>
  <sheetData>
    <row r="1" spans="1:34" ht="15" thickTop="1">
      <c r="A1" s="436"/>
      <c r="B1" s="437"/>
      <c r="C1" s="437"/>
      <c r="D1" s="437"/>
      <c r="E1" s="437"/>
      <c r="F1" s="437"/>
      <c r="G1" s="437"/>
      <c r="H1" s="437"/>
      <c r="I1" s="437"/>
      <c r="J1" s="437"/>
      <c r="K1" s="438"/>
      <c r="L1" s="102"/>
      <c r="P1" s="2"/>
      <c r="Q1" s="2"/>
      <c r="R1" s="2"/>
      <c r="S1" s="2"/>
      <c r="T1" s="2"/>
      <c r="U1" s="2"/>
      <c r="V1" s="2"/>
      <c r="W1" s="2"/>
      <c r="X1" s="2"/>
      <c r="Y1" s="2"/>
      <c r="Z1" s="2"/>
      <c r="AA1" s="2"/>
      <c r="AB1" s="2"/>
      <c r="AC1" s="2"/>
      <c r="AD1" s="2"/>
      <c r="AE1" s="2"/>
      <c r="AF1" s="2"/>
      <c r="AG1" s="2"/>
      <c r="AH1" s="2"/>
    </row>
    <row r="2" spans="1:34" ht="81.75" customHeight="1">
      <c r="A2" s="27"/>
      <c r="B2" s="283"/>
      <c r="C2" s="28"/>
      <c r="D2" s="439" t="str">
        <f ca="1">OFFSET(L!$C$1,MATCH("Declaration"&amp;ADDRESS(ROW(),COLUMN(),4),L!$A:$A,0)-1,SL,,)</f>
        <v>Erweiterte Vorlage für Mineralienberichte (EMRT)</v>
      </c>
      <c r="E2" s="440"/>
      <c r="F2" s="440"/>
      <c r="G2" s="440"/>
      <c r="H2" s="440"/>
      <c r="I2" s="440"/>
      <c r="J2" s="441"/>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18438</v>
      </c>
      <c r="E3" s="420"/>
      <c r="F3" s="421"/>
      <c r="G3" s="421"/>
      <c r="H3" s="421"/>
      <c r="I3" s="421"/>
      <c r="J3" s="190" t="s">
        <v>19342</v>
      </c>
      <c r="K3" s="29"/>
      <c r="L3" s="102"/>
      <c r="P3" s="38">
        <f>MATCH($D$3,LN,0)</f>
        <v>6</v>
      </c>
    </row>
    <row r="4" spans="1:34" ht="15">
      <c r="A4" s="27"/>
      <c r="B4" s="445" t="str">
        <f ca="1">OFFSET(L!$C$1,MATCH("Declaration"&amp;ADDRESS(ROW(),COLUMN(),4),L!$A:$A,0)-1,SL,,)</f>
        <v>Der Zweck dieses Dokuments ist die Erfassung von Beschaffungsinformationen für Cobalt und natürlicher Glimmer, welche in Produkten genutzt werden.</v>
      </c>
      <c r="C4" s="445"/>
      <c r="D4" s="445"/>
      <c r="E4" s="445"/>
      <c r="F4" s="445"/>
      <c r="G4" s="445"/>
      <c r="H4" s="445"/>
      <c r="I4" s="449" t="str">
        <f ca="1">OFFSET(L!$C$1,MATCH("Declaration"&amp;ADDRESS(ROW(),COLUMN(),4),L!$A:$A,0)-1,SL,,)</f>
        <v>Link zu den Bedingungen</v>
      </c>
      <c r="J4" s="449"/>
      <c r="K4" s="29"/>
      <c r="L4" s="104"/>
      <c r="P4" s="2"/>
      <c r="Q4" s="2"/>
      <c r="R4" s="2"/>
      <c r="S4" s="2"/>
      <c r="T4" s="2"/>
      <c r="U4" s="2"/>
      <c r="V4" s="2"/>
      <c r="W4" s="2"/>
      <c r="X4" s="2"/>
      <c r="Y4" s="2"/>
      <c r="Z4" s="2"/>
      <c r="AA4" s="2"/>
      <c r="AB4" s="2"/>
      <c r="AC4" s="2"/>
      <c r="AD4" s="2"/>
      <c r="AE4" s="2"/>
      <c r="AF4" s="2"/>
      <c r="AG4" s="2"/>
      <c r="AH4" s="2"/>
    </row>
    <row r="5" spans="1:34" ht="14.6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29.25">
      <c r="A6" s="27"/>
      <c r="B6" s="445" t="str">
        <f ca="1">OFFSET(L!$C$1,MATCH("Declaration"&amp;ADDRESS(ROW(),COLUMN(),4),L!$A:$A,0)-1,SL,,)</f>
        <v>Pflichtfelder sind mit einem Sternchen (*) gekennzeichnet.  Im Tab „Instruktionen“ finden Sie eine Anleitung zur Beantwortung aller Fragen.</v>
      </c>
      <c r="C6" s="445"/>
      <c r="D6" s="445"/>
      <c r="E6" s="445"/>
      <c r="F6" s="445"/>
      <c r="G6" s="445"/>
      <c r="H6" s="445"/>
      <c r="I6" s="445"/>
      <c r="J6" s="445"/>
      <c r="K6" s="29"/>
      <c r="L6" s="104" t="s">
        <v>18</v>
      </c>
      <c r="P6" s="2"/>
      <c r="Q6" s="2"/>
      <c r="R6" s="2"/>
      <c r="S6" s="2"/>
      <c r="T6" s="2"/>
      <c r="U6" s="2"/>
      <c r="V6" s="2"/>
      <c r="W6" s="2"/>
      <c r="X6" s="2"/>
      <c r="Y6" s="2"/>
      <c r="Z6" s="2"/>
      <c r="AA6" s="2"/>
      <c r="AB6" s="2"/>
      <c r="AC6" s="2"/>
      <c r="AD6" s="2"/>
      <c r="AE6" s="2"/>
      <c r="AF6" s="2"/>
      <c r="AG6" s="2"/>
      <c r="AH6" s="2"/>
    </row>
    <row r="7" spans="1:34" ht="15">
      <c r="A7" s="27"/>
      <c r="B7" s="450" t="str">
        <f ca="1">OFFSET(L!$C$1,MATCH("Declaration"&amp;ADDRESS(ROW(),COLUMN(),4),L!$A:$A,0)-1,SL,,)</f>
        <v>Firmenangaben</v>
      </c>
      <c r="C7" s="450"/>
      <c r="D7" s="450"/>
      <c r="E7" s="450"/>
      <c r="F7" s="450"/>
      <c r="G7" s="450"/>
      <c r="H7" s="450"/>
      <c r="I7" s="450"/>
      <c r="J7" s="450"/>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Firmenname (*):</v>
      </c>
      <c r="C8" s="66"/>
      <c r="D8" s="442" t="s">
        <v>20051</v>
      </c>
      <c r="E8" s="443"/>
      <c r="F8" s="443"/>
      <c r="G8" s="443"/>
      <c r="H8" s="443"/>
      <c r="I8" s="443"/>
      <c r="J8" s="444"/>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Geltungsbereich der Erklärung (*):</v>
      </c>
      <c r="C9" s="66"/>
      <c r="D9" s="426" t="s">
        <v>19</v>
      </c>
      <c r="E9" s="427"/>
      <c r="F9" s="427"/>
      <c r="G9" s="428"/>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1" t="str">
        <f ca="1">OFFSET(L!$C$1,MATCH("Declaration"&amp;ADDRESS(ROW(),COLUMN(),4)&amp;LEFT($D$9,1),L!$A:$A,0)-1,SL,,)</f>
        <v>Beschreibung des Geltungsbereichs</v>
      </c>
      <c r="C10" s="112"/>
      <c r="D10" s="446" t="s">
        <v>20052</v>
      </c>
      <c r="E10" s="447"/>
      <c r="F10" s="447"/>
      <c r="G10" s="447"/>
      <c r="H10" s="447"/>
      <c r="I10" s="447"/>
      <c r="J10" s="448"/>
      <c r="K10" s="29"/>
      <c r="L10" s="104"/>
      <c r="Q10" s="2"/>
      <c r="R10" s="2"/>
      <c r="S10" s="2"/>
      <c r="T10" s="2"/>
      <c r="U10" s="2"/>
      <c r="V10" s="2"/>
      <c r="W10" s="2"/>
      <c r="X10" s="2"/>
      <c r="Y10" s="2"/>
      <c r="Z10" s="2"/>
      <c r="AA10" s="2"/>
      <c r="AB10" s="2"/>
      <c r="AC10" s="2"/>
      <c r="AD10" s="2"/>
      <c r="AE10" s="2"/>
      <c r="AF10" s="2"/>
      <c r="AG10" s="2"/>
      <c r="AH10" s="2"/>
    </row>
    <row r="11" spans="1:34" ht="15">
      <c r="A11" s="31"/>
      <c r="B11" s="452"/>
      <c r="C11" s="112"/>
      <c r="D11" s="453" t="str">
        <f ca="1">IF(D9=Q9,OFFSET(L!$C$1,MATCH("Declaration"&amp;ADDRESS(ROW(),COLUMN(),4),L!$A:$A,0)-1,SL,,),"")</f>
        <v/>
      </c>
      <c r="E11" s="454"/>
      <c r="F11" s="454"/>
      <c r="G11" s="454"/>
      <c r="H11" s="454"/>
      <c r="I11" s="454"/>
      <c r="J11" s="455"/>
      <c r="K11" s="29"/>
      <c r="L11" s="104"/>
      <c r="Q11" s="2"/>
      <c r="R11" s="2"/>
      <c r="S11" s="2"/>
      <c r="T11" s="2"/>
      <c r="U11" s="2"/>
      <c r="V11" s="2"/>
      <c r="W11" s="2"/>
      <c r="X11" s="2"/>
      <c r="Y11" s="2"/>
      <c r="Z11" s="2"/>
      <c r="AA11" s="368" t="s">
        <v>19145</v>
      </c>
      <c r="AB11" s="2"/>
      <c r="AC11" s="2"/>
      <c r="AD11" s="2"/>
      <c r="AE11" s="2"/>
      <c r="AF11" s="2"/>
      <c r="AG11" s="2"/>
      <c r="AH11" s="2"/>
    </row>
    <row r="12" spans="1:34" ht="15">
      <c r="A12" s="31"/>
      <c r="B12" s="456" t="str">
        <f ca="1">OFFSET(L!$C$1,MATCH("Declaration"&amp;ADDRESS(ROW(),COLUMN(),4),L!$A:$A,0)-1,SL,,)</f>
        <v>Das antragstellende Unternehmen muss alle Mineralien ausgewählt, die in den Geltungsbereich der Erklärung fallen (*)</v>
      </c>
      <c r="C12" s="112"/>
      <c r="D12" s="372" t="s">
        <v>40</v>
      </c>
      <c r="E12" s="458" t="s">
        <v>19147</v>
      </c>
      <c r="F12" s="459"/>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57" t="e">
        <f ca="1">OFFSET(L!$C$1,MATCH("Declaration"&amp;ADDRESS(ROW(),COLUMN(),4),L!$A:$A,0)-1,SL,,)</f>
        <v>#N/A</v>
      </c>
      <c r="C13" s="112"/>
      <c r="D13" s="372" t="s">
        <v>19149</v>
      </c>
      <c r="E13" s="458" t="s">
        <v>19150</v>
      </c>
      <c r="F13" s="459"/>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
      </c>
      <c r="W13" s="296" t="str">
        <f t="shared" ref="W13" si="11">IF(V13="",V13,IF(V12="",V12,IF(V12&gt;V13,V12,V13)))</f>
        <v/>
      </c>
      <c r="X13" s="296" t="str">
        <f t="shared" si="8"/>
        <v/>
      </c>
      <c r="Y13" s="296" t="str">
        <f t="shared" ref="Y13" si="12">IF(X13="",X13,IF(X12="",X12,IF(X12&gt;X13,X12,X13)))</f>
        <v/>
      </c>
      <c r="Z13" s="296" t="str">
        <f t="shared" si="8"/>
        <v/>
      </c>
      <c r="AA13" s="296" t="str" cm="1">
        <f t="array" ref="AA13">_xlfn.IFNA(INDEX($Z$12:$Z$21,MATCH(0,COUNTIF($AA$12:$AA12,$Z$12:$Z$21),0)),"")</f>
        <v/>
      </c>
      <c r="AB13" s="2"/>
      <c r="AC13" s="2"/>
      <c r="AD13" s="2"/>
      <c r="AE13" s="2"/>
      <c r="AF13" s="2"/>
      <c r="AG13" s="2"/>
    </row>
    <row r="14" spans="1:34" ht="15" hidden="1">
      <c r="A14" s="31"/>
      <c r="B14" s="460"/>
      <c r="C14" s="112"/>
      <c r="D14" s="298"/>
      <c r="E14" s="462"/>
      <c r="F14" s="46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 hidden="1">
      <c r="A15" s="31"/>
      <c r="B15" s="461"/>
      <c r="C15" s="112"/>
      <c r="D15" s="298"/>
      <c r="E15" s="462"/>
      <c r="F15" s="46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
      <c r="A16" s="31"/>
      <c r="B16" s="33" t="str">
        <f ca="1">OFFSET(L!$C$1,MATCH("Declaration"&amp;ADDRESS(ROW(),COLUMN(),4),L!$A:$A,0)-1,SL,,)</f>
        <v>Eindeutige Unternehmenskennung:</v>
      </c>
      <c r="C16" s="67"/>
      <c r="D16" s="423"/>
      <c r="E16" s="424"/>
      <c r="F16" s="424"/>
      <c r="G16" s="424"/>
      <c r="H16" s="424"/>
      <c r="I16" s="424"/>
      <c r="J16" s="425"/>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
      <c r="A17" s="31"/>
      <c r="B17" s="33" t="str">
        <f ca="1">OFFSET(L!$C$1,MATCH("Declaration"&amp;ADDRESS(ROW(),COLUMN(),4),L!$A:$A,0)-1,SL,,)</f>
        <v>Zuständige Stelle im Unternehmen:</v>
      </c>
      <c r="C17" s="67"/>
      <c r="D17" s="423"/>
      <c r="E17" s="424"/>
      <c r="F17" s="424"/>
      <c r="G17" s="424"/>
      <c r="H17" s="424"/>
      <c r="I17" s="424"/>
      <c r="J17" s="425"/>
      <c r="K17" s="29"/>
      <c r="L17" s="104"/>
      <c r="P17" s="295" t="str">
        <f>IF(ISBLANK(D13),"",IF(D13="(Delete Lithium)",IF(ISBLANK(D15),"",D15),D13))</f>
        <v/>
      </c>
      <c r="Q17" s="296" t="str">
        <f t="shared" ref="Q17:Y17" si="19">IF(P17="",P17,IF(P16="",P16,IF(P16&gt;P17,P16,P17)))</f>
        <v/>
      </c>
      <c r="R17" s="296" t="str">
        <f t="shared" ref="R17:Z17" si="20">IF(Q18="",Q17,IF(Q17="",Q18,IF(Q17&gt;Q18,Q18,Q17)))</f>
        <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
      <c r="A18" s="31"/>
      <c r="B18" s="33" t="str">
        <f ca="1">OFFSET(L!$C$1,MATCH("Declaration"&amp;ADDRESS(ROW(),COLUMN(),4),L!$A:$A,0)-1,SL,,)</f>
        <v>Adresse:</v>
      </c>
      <c r="C18" s="67"/>
      <c r="D18" s="423" t="s">
        <v>20053</v>
      </c>
      <c r="E18" s="424"/>
      <c r="F18" s="424"/>
      <c r="G18" s="424"/>
      <c r="H18" s="424"/>
      <c r="I18" s="424"/>
      <c r="J18" s="425"/>
      <c r="K18" s="29"/>
      <c r="L18" s="104"/>
      <c r="P18" s="295" t="str">
        <f>IF(ISBLANK(E13),"",IF(E13="(Delete Mica)",IF(ISBLANK(E15),"",E15),E13))</f>
        <v/>
      </c>
      <c r="Q18" s="296" t="str">
        <f t="shared" ref="Q18:Y18" si="21">IF(P19="",P18,IF(P18="",P19,IF(P18&gt;P19,P19,P18)))</f>
        <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5" customHeight="1">
      <c r="A19" s="31"/>
      <c r="B19" s="33" t="str">
        <f ca="1">OFFSET(L!$C$1,MATCH("Declaration"&amp;ADDRESS(ROW(),COLUMN(),4),L!$A:$A,0)-1,SL,,)</f>
        <v>Name des Ansprechpartners (*):</v>
      </c>
      <c r="C19" s="67"/>
      <c r="D19" s="423" t="s">
        <v>20054</v>
      </c>
      <c r="E19" s="424"/>
      <c r="F19" s="424"/>
      <c r="G19" s="424"/>
      <c r="H19" s="424"/>
      <c r="I19" s="424"/>
      <c r="J19" s="425"/>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E-Mail-Adresse des Ansprechpartners (*):</v>
      </c>
      <c r="C20" s="67"/>
      <c r="D20" s="431" t="s">
        <v>20055</v>
      </c>
      <c r="E20" s="432"/>
      <c r="F20" s="432"/>
      <c r="G20" s="432"/>
      <c r="H20" s="432"/>
      <c r="I20" s="432"/>
      <c r="J20" s="433"/>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Telefonnummer des Ansprechpartners (*):</v>
      </c>
      <c r="C21" s="67"/>
      <c r="D21" s="423" t="s">
        <v>20056</v>
      </c>
      <c r="E21" s="424"/>
      <c r="F21" s="424"/>
      <c r="G21" s="424"/>
      <c r="H21" s="424"/>
      <c r="I21" s="424"/>
      <c r="J21" s="425"/>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9">
      <c r="A22" s="31"/>
      <c r="B22" s="33" t="str">
        <f ca="1">OFFSET(L!$C$1,MATCH("Declaration"&amp;ADDRESS(ROW(),COLUMN(),4),L!$A:$A,0)-1,SL,,)</f>
        <v>Bevollmächtigter (*):</v>
      </c>
      <c r="C22" s="67"/>
      <c r="D22" s="423" t="s">
        <v>20057</v>
      </c>
      <c r="E22" s="424"/>
      <c r="F22" s="424"/>
      <c r="G22" s="424"/>
      <c r="H22" s="424"/>
      <c r="I22" s="424"/>
      <c r="J22" s="425"/>
      <c r="K22" s="29"/>
      <c r="L22" s="98"/>
      <c r="Q22" s="2"/>
      <c r="R22" s="2"/>
      <c r="S22" s="2"/>
      <c r="T22" s="2"/>
      <c r="U22" s="2"/>
      <c r="V22" s="2"/>
      <c r="W22" s="2"/>
      <c r="X22" s="2"/>
      <c r="Y22" s="2"/>
      <c r="Z22" s="2"/>
      <c r="AA22" s="2">
        <f>10-COUNTIF(AA12:AA21,"")</f>
        <v>1</v>
      </c>
      <c r="AB22" s="2"/>
      <c r="AC22" s="2"/>
      <c r="AD22" s="2"/>
      <c r="AE22" s="2"/>
      <c r="AF22" s="2"/>
      <c r="AG22" s="2"/>
    </row>
    <row r="23" spans="1:33" ht="22.9">
      <c r="A23" s="31"/>
      <c r="B23" s="33" t="str">
        <f ca="1">OFFSET(L!$C$1,MATCH("Declaration"&amp;ADDRESS(ROW(),COLUMN(),4),L!$A:$A,0)-1,SL,,)</f>
        <v>Titel des Bevollmächtigten:</v>
      </c>
      <c r="C23" s="67"/>
      <c r="D23" s="423" t="s">
        <v>20058</v>
      </c>
      <c r="E23" s="424"/>
      <c r="F23" s="424"/>
      <c r="G23" s="424"/>
      <c r="H23" s="424"/>
      <c r="I23" s="424"/>
      <c r="J23" s="425"/>
      <c r="K23" s="29"/>
      <c r="L23" s="98"/>
      <c r="P23" s="2"/>
      <c r="Q23" s="2"/>
      <c r="R23" s="2"/>
      <c r="S23" s="2"/>
      <c r="T23" s="2"/>
      <c r="U23" s="2"/>
      <c r="V23" s="2"/>
      <c r="W23" s="2"/>
      <c r="X23" s="2"/>
      <c r="Y23" s="2"/>
      <c r="Z23" s="2"/>
      <c r="AA23" s="2">
        <f>IF(AA22=0,0.1,AA22)</f>
        <v>1</v>
      </c>
      <c r="AB23" s="2"/>
      <c r="AC23" s="2"/>
      <c r="AD23" s="2"/>
      <c r="AE23" s="2"/>
      <c r="AF23" s="2"/>
      <c r="AG23" s="2"/>
    </row>
    <row r="24" spans="1:33" ht="22.9">
      <c r="A24" s="31"/>
      <c r="B24" s="33" t="str">
        <f ca="1">OFFSET(L!$C$1,MATCH("Declaration"&amp;ADDRESS(ROW(),COLUMN(),4),L!$A:$A,0)-1,SL,,)</f>
        <v>E-Mail-Adresse des Bevollmächtigten (*):</v>
      </c>
      <c r="C24" s="67"/>
      <c r="D24" s="431" t="s">
        <v>20059</v>
      </c>
      <c r="E24" s="432"/>
      <c r="F24" s="432"/>
      <c r="G24" s="432"/>
      <c r="H24" s="432"/>
      <c r="I24" s="432"/>
      <c r="J24" s="433"/>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Telefonnummer des Bevollmächtigten:</v>
      </c>
      <c r="C25" s="124"/>
      <c r="D25" s="423" t="s">
        <v>20060</v>
      </c>
      <c r="E25" s="424"/>
      <c r="F25" s="424"/>
      <c r="G25" s="424"/>
      <c r="H25" s="424"/>
      <c r="I25" s="424"/>
      <c r="J25" s="425"/>
      <c r="K25" s="29"/>
      <c r="L25" s="104"/>
      <c r="P25" s="2"/>
      <c r="Q25" s="2"/>
      <c r="R25" s="2"/>
      <c r="S25" s="2"/>
      <c r="T25" s="2"/>
      <c r="U25" s="2"/>
      <c r="V25" s="2"/>
      <c r="W25" s="2"/>
      <c r="X25" s="2"/>
      <c r="Y25" s="2"/>
      <c r="Z25" s="2"/>
      <c r="AA25" s="2"/>
      <c r="AB25" s="2"/>
      <c r="AC25" s="2"/>
      <c r="AD25" s="2"/>
      <c r="AE25" s="2"/>
      <c r="AF25" s="2"/>
      <c r="AG25" s="2"/>
    </row>
    <row r="26" spans="1:33" ht="17.649999999999999">
      <c r="A26" s="31"/>
      <c r="B26" s="33" t="str">
        <f ca="1">OFFSET(L!$C$1,MATCH("Declaration"&amp;ADDRESS(ROW(),COLUMN(),4),L!$A:$A,0)-1,SL,,)</f>
        <v>Datum (*):</v>
      </c>
      <c r="C26" s="68"/>
      <c r="D26" s="434">
        <v>45800</v>
      </c>
      <c r="E26" s="435"/>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649999999999999">
      <c r="A27" s="34"/>
      <c r="B27" s="69"/>
      <c r="C27" s="13"/>
      <c r="D27" s="429"/>
      <c r="E27" s="42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30" t="str">
        <f ca="1">OFFSET(L!$C$1,MATCH("Declaration"&amp;ADDRESS(ROW(),COLUMN(),4),L!$A:$A,0)-1,SL,,)</f>
        <v>Beantworten Sie die Fragen 1 - 7 entsprechend dem oben angegebenen Geltungsbereich</v>
      </c>
      <c r="C28" s="430"/>
      <c r="D28" s="430"/>
      <c r="E28" s="430"/>
      <c r="F28" s="430"/>
      <c r="G28" s="430"/>
      <c r="H28" s="430"/>
      <c r="I28" s="430"/>
      <c r="J28" s="430"/>
      <c r="K28" s="36"/>
      <c r="L28" s="99"/>
      <c r="P28" s="2"/>
      <c r="Q28" s="2"/>
      <c r="R28" s="2"/>
      <c r="S28" s="2"/>
      <c r="T28" s="2"/>
      <c r="U28" s="2"/>
      <c r="V28" s="2"/>
      <c r="W28" s="2"/>
      <c r="X28" s="2"/>
      <c r="Y28" s="2"/>
      <c r="Z28" s="2"/>
      <c r="AA28" s="2"/>
      <c r="AB28" s="2"/>
      <c r="AC28" s="2"/>
      <c r="AD28" s="2"/>
      <c r="AE28" s="2"/>
      <c r="AF28" s="2"/>
      <c r="AG28" s="2"/>
    </row>
    <row r="29" spans="1:33" ht="44.25">
      <c r="A29" s="34"/>
      <c r="B29" s="37" t="str">
        <f ca="1">OFFSET(L!$C$1,MATCH("Declaration"&amp;ADDRESS(ROW(),COLUMN(),4),L!$A:$A,0)-1,SL,,)</f>
        <v>1) Wird absichtlich angegebenen Mineralien im Herstellungsprozess verwendet oder in das bzw. die Produkte aufgenommen? (*)</v>
      </c>
      <c r="C29" s="13"/>
      <c r="D29" s="412" t="str">
        <f ca="1">OFFSET(L!$C$1,MATCH("Declaration"&amp;ADDRESS(ROW(),COLUMN(),4),L!$A:$A,0)-1,SL,,)</f>
        <v>Antwort</v>
      </c>
      <c r="E29" s="412"/>
      <c r="F29" s="14"/>
      <c r="G29" s="37" t="str">
        <f ca="1">OFFSET(L!$C$1,MATCH("Declaration"&amp;ADDRESS(ROW(),COLUMN(),4),L!$A:$A,0)-1,SL,,)</f>
        <v>Kommentare</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9">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9">
      <c r="A31" s="34"/>
      <c r="B31" s="299" t="str">
        <f t="shared" si="32"/>
        <v/>
      </c>
      <c r="C31" s="28"/>
      <c r="D31" s="403"/>
      <c r="E31" s="404"/>
      <c r="F31" s="8"/>
      <c r="G31" s="405"/>
      <c r="H31" s="406"/>
      <c r="I31" s="406"/>
      <c r="J31" s="407"/>
      <c r="K31" s="29"/>
      <c r="L31" s="105"/>
      <c r="O31" s="38" t="str">
        <f t="shared" ref="O31:O39" si="33">IF(B31="","","(*)")</f>
        <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9">
      <c r="A32" s="34"/>
      <c r="B32" s="299" t="str">
        <f t="shared" si="32"/>
        <v/>
      </c>
      <c r="C32" s="28"/>
      <c r="D32" s="403"/>
      <c r="E32" s="404"/>
      <c r="F32" s="8"/>
      <c r="G32" s="405"/>
      <c r="H32" s="406"/>
      <c r="I32" s="406"/>
      <c r="J32" s="407"/>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9">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9">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9">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9"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9"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9"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9"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64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Verbleibt angegebenen Mineralien in dem bzw. den Produkten? (*)(*)</v>
      </c>
      <c r="C41" s="13"/>
      <c r="D41" s="418" t="str">
        <f ca="1">D29</f>
        <v>Antwort</v>
      </c>
      <c r="E41" s="418"/>
      <c r="F41" s="14"/>
      <c r="G41" s="37" t="str">
        <f ca="1">G29</f>
        <v>Kommentare</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9">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9">
      <c r="A43" s="34"/>
      <c r="B43" s="300" t="str">
        <f t="shared" si="36"/>
        <v/>
      </c>
      <c r="C43" s="28"/>
      <c r="D43" s="403"/>
      <c r="E43" s="404"/>
      <c r="F43" s="8"/>
      <c r="G43" s="405"/>
      <c r="H43" s="406"/>
      <c r="I43" s="406"/>
      <c r="J43" s="407"/>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9">
      <c r="A44" s="34"/>
      <c r="B44" s="300" t="str">
        <f t="shared" si="36"/>
        <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9">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9">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9">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9"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9"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9"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9"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64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5" customHeight="1">
      <c r="A53" s="34"/>
      <c r="B53" s="37" t="str">
        <f ca="1">OFFSET(L!$C$1,MATCH("Declaration"&amp;ADDRESS(ROW(),COLUMN(),4),L!$A:$A,0)-1,SL,,)&amp;Q53</f>
        <v>3) Bezieht einer der Verhüttungsbetrieb oder das Verarbeitungsunternehmen in Ihrer Lieferkette das angegebenen Mineralien aus Konflikt- und Hochrisikogebieten? (OECD Due Diligence Guidance, siehe Registerkarte Definitionen)(*)</v>
      </c>
      <c r="C53" s="6"/>
      <c r="D53" s="418" t="str">
        <f ca="1">D29</f>
        <v>Antwort</v>
      </c>
      <c r="E53" s="418"/>
      <c r="F53" s="14"/>
      <c r="G53" s="37" t="str">
        <f ca="1">G29</f>
        <v>Kommentare</v>
      </c>
      <c r="H53" s="422"/>
      <c r="I53" s="422"/>
      <c r="J53" s="422"/>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9">
      <c r="A54" s="34"/>
      <c r="B54" s="300" t="str">
        <f>IF(ISERROR(AA$12),"",AA$12&amp;"")&amp;P$54</f>
        <v>Cobalt(*)</v>
      </c>
      <c r="C54" s="6"/>
      <c r="D54" s="403" t="s">
        <v>25</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9">
      <c r="A55" s="34"/>
      <c r="B55" s="300" t="str">
        <f>IF(ISERROR(AA$13),"",AA$13&amp;"")&amp;P$55</f>
        <v/>
      </c>
      <c r="C55" s="6"/>
      <c r="D55" s="403"/>
      <c r="E55" s="404"/>
      <c r="F55" s="40"/>
      <c r="G55" s="405"/>
      <c r="H55" s="406"/>
      <c r="I55" s="406"/>
      <c r="J55" s="407"/>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2.05" customHeight="1">
      <c r="A56" s="34"/>
      <c r="B56" s="300" t="str">
        <f>IF(ISERROR(AA$14),"",AA$14&amp;"")&amp;P$56</f>
        <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2.05"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9">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9">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9"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9"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9"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9"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64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5" customHeight="1">
      <c r="A65" s="34"/>
      <c r="B65" s="37" t="str">
        <f ca="1">OFFSET(L!$C$1,MATCH("Declaration"&amp;ADDRESS(ROW(),COLUMN(),4),L!$A:$A,0)-1,SL,,)&amp;Q53</f>
        <v>4) Stammt 100 Prozent des angegebenen Mineralien aus Recycling- oder Schrottquellen?(*)</v>
      </c>
      <c r="C65" s="6"/>
      <c r="D65" s="418" t="str">
        <f ca="1">D29</f>
        <v>Antwort</v>
      </c>
      <c r="E65" s="418"/>
      <c r="F65" s="14"/>
      <c r="G65" s="37" t="str">
        <f ca="1">G29</f>
        <v>Kommentare</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9">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
      </c>
      <c r="C67" s="6"/>
      <c r="D67" s="403"/>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64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Wie hoch ist der Prozentsatz an Lieferanten, die auf Ihre Lieferkettenumfrage geantwortet haben?(*)</v>
      </c>
      <c r="C77" s="6"/>
      <c r="D77" s="418" t="str">
        <f ca="1">D29</f>
        <v>Antwort</v>
      </c>
      <c r="E77" s="418"/>
      <c r="F77" s="14"/>
      <c r="G77" s="37" t="str">
        <f ca="1">G29</f>
        <v>Kommentare</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9">
      <c r="A78" s="34"/>
      <c r="B78" s="300" t="str">
        <f>IF(ISERROR(AA$12),"",AA$12&amp;"")&amp;P$54</f>
        <v>Cobalt(*)</v>
      </c>
      <c r="C78" s="28"/>
      <c r="D78" s="403" t="s">
        <v>20061</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9">
      <c r="A79" s="34"/>
      <c r="B79" s="300" t="str">
        <f>IF(ISERROR(AA$13),"",AA$13&amp;"")&amp;P$55</f>
        <v/>
      </c>
      <c r="C79" s="28"/>
      <c r="D79" s="403"/>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
      <c r="A89" s="34"/>
      <c r="B89" s="122" t="str">
        <f ca="1">OFFSET(L!$C$1,MATCH("Declaration"&amp;ADDRESS(ROW(),COLUMN(),4),L!$A:$A,0)-1,SL,,)&amp;Q53</f>
        <v>6) Kennen Sie alle Verhüttungsbetriebe oder Verarbeitungsunternehmen, die das angegebenen Mineralien für Ihre Lieferkette bereitstellen?(*)</v>
      </c>
      <c r="C89" s="6"/>
      <c r="D89" s="418" t="str">
        <f ca="1">D29</f>
        <v>Antwort</v>
      </c>
      <c r="E89" s="418"/>
      <c r="F89" s="14"/>
      <c r="G89" s="37" t="str">
        <f ca="1">G29</f>
        <v>Kommentare</v>
      </c>
      <c r="H89" s="419"/>
      <c r="I89" s="419"/>
      <c r="J89" s="419"/>
      <c r="K89" s="29"/>
      <c r="L89" s="99" t="s">
        <v>15</v>
      </c>
      <c r="M89" s="100"/>
      <c r="P89" s="2"/>
      <c r="Q89" s="2"/>
      <c r="R89" s="2"/>
      <c r="S89" s="2"/>
      <c r="T89" s="2"/>
      <c r="U89" s="2"/>
      <c r="V89" s="2"/>
      <c r="W89" s="2"/>
      <c r="X89" s="2"/>
      <c r="Y89" s="2">
        <v>55</v>
      </c>
      <c r="Z89" s="2"/>
      <c r="AA89" s="2"/>
      <c r="AB89" s="2"/>
      <c r="AC89" s="2"/>
      <c r="AD89" s="2"/>
      <c r="AE89" s="2"/>
      <c r="AF89" s="2"/>
      <c r="AG89" s="2"/>
    </row>
    <row r="90" spans="1:33" ht="22.9">
      <c r="A90" s="34"/>
      <c r="B90" s="300" t="str">
        <f>IF(ISERROR(AA$12),"",AA$12&amp;"")&amp;P$54</f>
        <v>Cobalt(*)</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9">
      <c r="A91" s="34"/>
      <c r="B91" s="300" t="str">
        <f>IF(ISERROR(AA$13),"",AA$13&amp;"")&amp;P$55</f>
        <v/>
      </c>
      <c r="C91" s="6"/>
      <c r="D91" s="403"/>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9">
      <c r="A92" s="34"/>
      <c r="B92" s="300" t="str">
        <f>IF(ISERROR(AA$14),"",AA$14&amp;"")&amp;P$56</f>
        <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9">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9">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9">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9"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9"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9"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9"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
      <c r="A101" s="34"/>
      <c r="B101" s="37" t="str">
        <f ca="1">OFFSET(L!$C$1,MATCH("Declaration"&amp;ADDRESS(ROW(),COLUMN(),4),L!$A:$A,0)-1,SL,,)&amp;Q53</f>
        <v>7) Sind alle anwendbaren Informationen über Verhüttungsbetriebe oder Verarbeitungsunternehmen, die Ihr Unternehmen erhalten hat, in dieser Erklärung genannt worden?(*)</v>
      </c>
      <c r="C101" s="6"/>
      <c r="D101" s="418" t="str">
        <f ca="1">D29</f>
        <v>Antwort</v>
      </c>
      <c r="E101" s="418"/>
      <c r="F101" s="14"/>
      <c r="G101" s="37" t="str">
        <f ca="1">G29</f>
        <v>Kommentare</v>
      </c>
      <c r="H101" s="419" t="str">
        <f>IF(Q115="(*)","Click here to enter smelter names","")</f>
        <v/>
      </c>
      <c r="I101" s="419"/>
      <c r="J101" s="419"/>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9">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9">
      <c r="A103" s="34"/>
      <c r="B103" s="300" t="str">
        <f>IF(ISERROR(AA$13),"",AA$13&amp;"")&amp;P$55</f>
        <v/>
      </c>
      <c r="C103" s="28"/>
      <c r="D103" s="403"/>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9">
      <c r="A104" s="34"/>
      <c r="B104" s="300" t="str">
        <f>IF(ISERROR(AA$14),"",AA$14&amp;"")&amp;P$56</f>
        <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9">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9">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9">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9"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9"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9"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9"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4.6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4.65">
      <c r="A113" s="34"/>
      <c r="B113" s="417" t="str">
        <f ca="1">OFFSET(L!$C$1,MATCH("Declaration"&amp;ADDRESS(ROW(),COLUMN(),4),L!$A:$A,0)-1,SL,,)</f>
        <v>Beantworten Sie folgende Fragen auf Firmenebene</v>
      </c>
      <c r="C113" s="417"/>
      <c r="D113" s="417"/>
      <c r="E113" s="417"/>
      <c r="F113" s="417"/>
      <c r="G113" s="417"/>
      <c r="H113" s="417"/>
      <c r="I113" s="417"/>
      <c r="J113" s="417"/>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Frage</v>
      </c>
      <c r="C114" s="71"/>
      <c r="D114" s="412" t="str">
        <f ca="1">D29</f>
        <v>Antwort</v>
      </c>
      <c r="E114" s="412"/>
      <c r="F114" s="46"/>
      <c r="G114" s="412" t="str">
        <f ca="1">G29</f>
        <v>Kommentare</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Haben Sie eine Richtlinie zur verantwortungsvollen Beschaffung von Mineralien aufgestellt?(*)</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Ist Ihre Richtlinie zur verantwortungsvollen Beschaffung von Mineralien auf Ihrer Website einsehbar? (Hinweis – Bei „Ja“ hat der Benutzer die URL im Anmerkungsfeld anzugeben.)(*)</v>
      </c>
      <c r="C117" s="50"/>
      <c r="D117" s="403" t="s">
        <v>25</v>
      </c>
      <c r="E117" s="404"/>
      <c r="F117" s="50"/>
      <c r="G117" s="483" t="s">
        <v>20062</v>
      </c>
      <c r="H117" s="413"/>
      <c r="I117" s="413"/>
      <c r="J117" s="414"/>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Verlangen Sie von Ihren direkten Lieferanten, das angegebenen Mineralien von Verhüttungsbetrieben, deren Sorgfaltspflichtpraktiken von einem unabhängigen Prüfungsprogramm einer dritten Partei überprüft worden sind?(*)</v>
      </c>
      <c r="C119" s="230"/>
      <c r="D119" s="415"/>
      <c r="E119" s="415"/>
      <c r="F119" s="233"/>
      <c r="G119" s="416"/>
      <c r="H119" s="416"/>
      <c r="I119" s="416"/>
      <c r="J119" s="416"/>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
      </c>
      <c r="C121" s="294"/>
      <c r="D121" s="403"/>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Haben Sie Sorgfaltspflichtmaßnahmen für verantwortungsvolle Beschaffung in Kraft gesetzt?(*)</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4.6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Führt Ihr Unternehmen Lieferkettenumfragen bei Ihren relevanten Lieferanten zu angegebenen Mineralien durch?(*)</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Prüfen Sie die Sorgfaltspflichtangaben, die Sie von Ihren Lieferanten erhalten, gegen die Erwartungen Ihres Unternehmens?(*)</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Umfasst Ihr Prüfverfahren die Überwachung von Abhilfemaßnahmen?(*)</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4.6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9"/>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9"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70"/>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262E68BB-6F30-4EC9-BE3E-6768E893DAE9}"/>
    <hyperlink ref="D24" r:id="rId2" xr:uid="{3C13F9C3-2198-45B7-B24E-11C63C341D68}"/>
    <hyperlink ref="G117" r:id="rId3" xr:uid="{F5019AA7-3ECE-4DBB-863D-FDD325A1D339}"/>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abSelected="1" topLeftCell="A4" zoomScaleNormal="100" workbookViewId="0">
      <selection activeCell="H11" sqref="H11"/>
    </sheetView>
  </sheetViews>
  <sheetFormatPr baseColWidth="10" defaultColWidth="9" defaultRowHeight="12.4"/>
  <cols>
    <col min="1" max="1" width="13.703125" style="170" customWidth="1"/>
    <col min="2" max="2" width="13.17578125" style="96" customWidth="1"/>
    <col min="3" max="3" width="40.46875" style="96" customWidth="1"/>
    <col min="4" max="4" width="30.703125" style="96" customWidth="1"/>
    <col min="5" max="5" width="21" style="96" customWidth="1"/>
    <col min="6" max="7" width="14" style="96" customWidth="1"/>
    <col min="8" max="8" width="25" style="96" customWidth="1"/>
    <col min="9" max="9" width="24" style="96" customWidth="1"/>
    <col min="10" max="10" width="18.17578125" style="96" customWidth="1"/>
    <col min="11" max="11" width="27.17578125" style="96" customWidth="1"/>
    <col min="12" max="12" width="20.703125" style="96" customWidth="1"/>
    <col min="13" max="13" width="35" style="96" customWidth="1"/>
    <col min="14" max="14" width="42" style="96" customWidth="1"/>
    <col min="15" max="15" width="32" style="96" customWidth="1"/>
    <col min="16" max="16" width="23" style="96" customWidth="1"/>
    <col min="17" max="17" width="43.46875" style="96" customWidth="1"/>
    <col min="18" max="18" width="7.29296875" style="96" hidden="1" customWidth="1"/>
    <col min="19" max="19" width="19" style="96" hidden="1" customWidth="1"/>
    <col min="20" max="20" width="13.17578125" style="96" hidden="1" customWidth="1"/>
    <col min="21" max="21" width="19.46875" style="96" hidden="1" customWidth="1"/>
    <col min="22" max="22" width="5.703125" style="96" hidden="1" customWidth="1"/>
    <col min="23" max="23" width="14.46875" style="96" hidden="1" customWidth="1"/>
    <col min="24" max="24" width="27.29296875" style="96" hidden="1" customWidth="1"/>
    <col min="25" max="25" width="25.703125" style="96" hidden="1" customWidth="1"/>
    <col min="26" max="26" width="22" style="96" hidden="1" customWidth="1"/>
    <col min="27" max="27" width="20.703125" style="96" hidden="1" customWidth="1"/>
    <col min="28" max="28" width="20.17578125" style="315" hidden="1" customWidth="1"/>
    <col min="29" max="29" width="26.29296875" style="96" hidden="1" customWidth="1"/>
    <col min="30" max="30" width="23.29296875" style="96" hidden="1" customWidth="1"/>
    <col min="31" max="31" width="26" style="96" hidden="1" customWidth="1"/>
    <col min="32" max="32" width="30.17578125" style="96" hidden="1" customWidth="1"/>
    <col min="33" max="33" width="26" style="96" hidden="1" customWidth="1"/>
    <col min="34" max="34" width="21" style="96" hidden="1" customWidth="1"/>
    <col min="35" max="39" width="9" style="96" customWidth="1"/>
    <col min="40" max="16384" width="9" style="96"/>
  </cols>
  <sheetData>
    <row r="1" spans="1:34" s="16" customFormat="1" ht="13.1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UM ZU BEGINNEN:</v>
      </c>
      <c r="C2" s="142"/>
      <c r="D2" s="142"/>
      <c r="E2" s="142"/>
      <c r="F2" s="161"/>
      <c r="G2" s="161"/>
      <c r="H2" s="161"/>
      <c r="I2" s="284"/>
      <c r="J2" s="464" t="str">
        <f ca="1">OFFSET(L!$C$1,MATCH("Smelter List"&amp;ADDRESS(ROW(),COLUMN(),4),L!$A:$A,0)-1,SL,,)</f>
        <v>Link zur "RMAP Conformant Smelter"- Liste</v>
      </c>
      <c r="K2" s="465"/>
      <c r="L2" s="465"/>
      <c r="M2" s="465"/>
      <c r="N2" s="465"/>
      <c r="O2" s="465"/>
      <c r="P2" s="162"/>
      <c r="Q2" s="163"/>
      <c r="R2" s="164"/>
      <c r="S2" s="164"/>
      <c r="T2" s="164"/>
      <c r="AB2" s="312"/>
      <c r="AH2" s="130" t="s">
        <v>25</v>
      </c>
    </row>
    <row r="3" spans="1:34" s="16" customFormat="1" ht="249.5" customHeight="1">
      <c r="A3" s="202"/>
      <c r="B3" s="466"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66"/>
      <c r="D3" s="466"/>
      <c r="E3" s="466"/>
      <c r="F3" s="165"/>
      <c r="G3" s="467" t="str">
        <f ca="1">OFFSET(L!$C$1,MATCH("General"&amp;"Cpy",L!$A:$A,0)-1,SL,,)</f>
        <v>© 2025 Responsible Minerals Initiative. All rights reserved.</v>
      </c>
      <c r="H3" s="468"/>
      <c r="I3" s="469"/>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 xml:space="preserve">Eingabespalte Schmelzhüttenidentifizierungsnummer </v>
      </c>
      <c r="B4" s="128" t="str">
        <f ca="1">OFFSET(L!$C$1,MATCH("Smelter List"&amp;ADDRESS(ROW(),COLUMN(),4),L!$A:$A,0)-1,SL,,)</f>
        <v>Metall (*)</v>
      </c>
      <c r="C4" s="128" t="str">
        <f ca="1">OFFSET(L!$C$1,MATCH("Smelter List"&amp;ADDRESS(ROW(),COLUMN(),4),L!$A:$A,0)-1,SL,,)</f>
        <v>Schmelzhüttensuche (*)</v>
      </c>
      <c r="D4" s="128" t="str">
        <f ca="1">OFFSET(L!$C$1,MATCH("Smelter List"&amp;ADDRESS(ROW(),COLUMN(),4),L!$A:$A,0)-1,SL,,)</f>
        <v>Schmelzhüttenname (*)</v>
      </c>
      <c r="E4" s="128" t="str">
        <f ca="1">OFFSET(L!$C$1,MATCH("Smelter List"&amp;ADDRESS(ROW(),COLUMN(),4),L!$A:$A,0)-1,SL,,)</f>
        <v>Schmelzhütten: Land (*)</v>
      </c>
      <c r="F4" s="128" t="str">
        <f ca="1">OFFSET(L!$C$1,MATCH("Smelter List"&amp;ADDRESS(ROW(),COLUMN(),4),L!$A:$A,0)-1,SL,,)</f>
        <v>Schmelzhütte Identifizierung</v>
      </c>
      <c r="G4" s="128" t="str">
        <f ca="1">OFFSET(L!$C$1,MATCH("Smelter List"&amp;ADDRESS(ROW(),COLUMN(),4),L!$A:$A,0)-1,SL,,)</f>
        <v>Quelle der Schmelzhütte Id-Nummer</v>
      </c>
      <c r="H4" s="129" t="str">
        <f ca="1">OFFSET(L!$C$1,MATCH("Smelter List"&amp;ADDRESS(ROW(),COLUMN(),4),L!$A:$A,0)-1,SL,,)</f>
        <v>Schmelzhütten: Straße</v>
      </c>
      <c r="I4" s="129" t="str">
        <f ca="1">OFFSET(L!$C$1,MATCH("Smelter List"&amp;ADDRESS(ROW(),COLUMN(),4),L!$A:$A,0)-1,SL,,)</f>
        <v>Schmelzhütten: Stadt</v>
      </c>
      <c r="J4" s="129" t="str">
        <f ca="1">OFFSET(L!$C$1,MATCH("Smelter List"&amp;ADDRESS(ROW(),COLUMN(),4),L!$A:$A,0)-1,SL,,)</f>
        <v>Schmelzhütten: Bundesland/Provinz</v>
      </c>
      <c r="K4" s="129" t="str">
        <f ca="1">OFFSET(L!$C$1,MATCH("Smelter List"&amp;ADDRESS(ROW(),COLUMN(),4),L!$A:$A,0)-1,SL,,)</f>
        <v xml:space="preserve">Schmelzhütten-Ansprechpartner: Name </v>
      </c>
      <c r="L4" s="129" t="str">
        <f ca="1">OFFSET(L!$C$1,MATCH("Smelter List"&amp;ADDRESS(ROW(),COLUMN(),4),L!$A:$A,0)-1,SL,,)</f>
        <v>Schmelzhütten-Ansprechpartner: E-mail</v>
      </c>
      <c r="M4" s="129" t="str">
        <f ca="1">OFFSET(L!$C$1,MATCH("Smelter List"&amp;ADDRESS(ROW(),COLUMN(),4),L!$A:$A,0)-1,SL,,)</f>
        <v>Vorgeschlagenen nächsten Schritte</v>
      </c>
      <c r="N4" s="129" t="str">
        <f ca="1">OFFSET(L!$C$1,MATCH("Smelter List"&amp;ADDRESS(ROW(),COLUMN(),4),L!$A:$A,0)-1,SL,,)</f>
        <v>Name der Mine(n) oder falls aus Recycling oder Schrott, tragen Sie "recycled" oder "Schrott" ein</v>
      </c>
      <c r="O4" s="129" t="str">
        <f ca="1">OFFSET(L!$C$1,MATCH("Smelter List"&amp;ADDRESS(ROW(),COLUMN(),4),L!$A:$A,0)-1,SL,,)</f>
        <v>Standort (Land) von Minen, falls aus Recycling oder Schrott gekauft, geben Sie "recycled" oder "Schrott" ein</v>
      </c>
      <c r="P4" s="129" t="str">
        <f ca="1">OFFSET(L!$C$1,MATCH("Smelter List"&amp;ADDRESS(ROW(),COLUMN(),4),L!$A:$A,0)-1,SL,,)</f>
        <v>Stammen 100% der Ausgangsstoffe der Schmelzhütte aus Recycling oder Schrott?</v>
      </c>
      <c r="Q4" s="130" t="str">
        <f ca="1">OFFSET(L!$C$1,MATCH("Smelter List"&amp;ADDRESS(ROW(),COLUMN(),4),L!$A:$A,0)-1,SL,,)</f>
        <v>Kommentare</v>
      </c>
      <c r="R4" s="128" t="s">
        <v>42</v>
      </c>
      <c r="S4" s="128" t="s">
        <v>43</v>
      </c>
      <c r="T4" s="128" t="s">
        <v>44</v>
      </c>
      <c r="U4" s="167"/>
      <c r="W4" s="140" t="s">
        <v>45</v>
      </c>
      <c r="X4" s="140" t="s">
        <v>46</v>
      </c>
      <c r="AB4" s="313"/>
      <c r="AH4" s="130" t="s">
        <v>26</v>
      </c>
    </row>
    <row r="5" spans="1:34" s="170" customFormat="1" ht="49.5">
      <c r="A5" s="198"/>
      <c r="B5" s="304" t="s">
        <v>40</v>
      </c>
      <c r="C5" s="152" t="s">
        <v>99</v>
      </c>
      <c r="D5" s="149"/>
      <c r="E5" s="149" t="str">
        <f ca="1">IF(ISERROR($V5),"",OFFSET('Smelter Look-up'!$D$4,$V5-4,0)&amp;"")</f>
        <v>FINLAND</v>
      </c>
      <c r="F5" s="149" t="s">
        <v>102</v>
      </c>
      <c r="G5" s="149" t="str">
        <f ca="1">IF(C5=$X$4,"Enter smelter details",IF(ISERROR($V5),"",OFFSET('Smelter Look-up'!$F$4,$V5-4,0)))</f>
        <v>RMI</v>
      </c>
      <c r="H5" s="206">
        <f ca="1">IF(ISERROR($V5),"",OFFSET('Smelter Look-up'!$G$4,$V5-4,0))</f>
        <v>0</v>
      </c>
      <c r="I5" s="207" t="str">
        <f ca="1">IF(ISERROR($V5),"",OFFSET('Smelter Look-up'!$H$4,$V5-4,0))</f>
        <v>Kokkola</v>
      </c>
      <c r="J5" s="207" t="str">
        <f ca="1">IF(ISERROR($V5),"",OFFSET('Smelter Look-up'!$I$4,$V5-4,0))</f>
        <v>Mellersta Österbotten</v>
      </c>
      <c r="K5" s="150"/>
      <c r="L5" s="150"/>
      <c r="M5" s="150"/>
      <c r="N5" s="150"/>
      <c r="O5" s="150"/>
      <c r="P5" s="209"/>
      <c r="Q5" s="151" t="s">
        <v>20063</v>
      </c>
      <c r="R5" s="149" t="str">
        <f ca="1">IF(ISERROR($V5),"",OFFSET('Smelter Look-up'!$C$4,$V5-4,0)&amp;"")</f>
        <v>Umicore Finland Oy</v>
      </c>
      <c r="S5" s="155" t="str">
        <f t="shared" ref="S5:S12" ca="1" si="0">IF(B5="","",IF(ISERROR(MATCH($E5,CL,0)),"Unknown",INDIRECT("'C'!$A$"&amp;MATCH($E5,CL,0)+1)))</f>
        <v>FI</v>
      </c>
      <c r="T5" s="155" t="str">
        <f ca="1">IF(B5="","",IF(ISERROR(MATCH($J5,SorP!$B$1:$B$6226,0)),"",INDIRECT("'SorP'!$A$"&amp;MATCH($S5&amp;$J5,SorP!C:C,0))))</f>
        <v>FI-07</v>
      </c>
      <c r="U5" s="168"/>
      <c r="V5" s="169">
        <f>IF(C5="",NA(),MATCH($B5&amp;$C5,'Smelter Look-up'!$J:$J,0))</f>
        <v>29</v>
      </c>
      <c r="X5" s="170">
        <f t="shared" ref="X5:X12" ca="1" si="1">IF(AND(C5="Smelter not listed",OR(LEN(D5)=0,LEN(E5)=0)),1,0)</f>
        <v>0</v>
      </c>
      <c r="AB5" s="314" t="str">
        <f t="shared" ref="AB5:AB12" si="2">IF(C5="","",B5)</f>
        <v>Cobalt</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0.65"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2.7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D6" sqref="D6"/>
    </sheetView>
  </sheetViews>
  <sheetFormatPr baseColWidth="10" defaultColWidth="9" defaultRowHeight="12.4"/>
  <cols>
    <col min="1" max="1" width="45" style="15" customWidth="1"/>
    <col min="2" max="2" width="43" style="16" customWidth="1"/>
    <col min="3" max="3" width="51.46875" style="15" customWidth="1"/>
    <col min="4" max="4" width="29" style="16" customWidth="1"/>
    <col min="5" max="9" width="10" style="15" hidden="1" customWidth="1"/>
    <col min="10" max="10" width="20.17578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Um sicherzustellen, dass alle erforderlichen Felder vor dem Versand an ihren Kunden ausgefüllt sind, alle rot markierten Felder beachten.</v>
      </c>
      <c r="B1" s="470"/>
      <c r="C1" s="470"/>
      <c r="D1" s="108" t="str">
        <f ca="1">OFFSET(L!$C$1,MATCH("Checker"&amp;ADDRESS(ROW(),COLUMN(),4),L!$A:$A,0)-1,SL,,)</f>
        <v>Erforderliche Felder bitte vervollständigen.</v>
      </c>
      <c r="E1" s="16" t="s">
        <v>18</v>
      </c>
    </row>
    <row r="2" spans="1:10" ht="15">
      <c r="A2" s="58" t="s">
        <v>47</v>
      </c>
      <c r="B2" s="59" t="str">
        <f>IF(F114=1,"Click here to return to Smelter List","")</f>
        <v>Click here to return to Smelter List</v>
      </c>
      <c r="C2" s="111" t="str">
        <f>IF(F112=1,"Click here to return to Product List","")</f>
        <v/>
      </c>
      <c r="D2" s="133" t="str">
        <f ca="1">IF(H125=0,"0",H125)</f>
        <v>0</v>
      </c>
    </row>
    <row r="3" spans="1:10" ht="14.65">
      <c r="A3" s="60" t="str">
        <f ca="1">OFFSET(L!$C$1,MATCH("Checker"&amp;ADDRESS(ROW(),COLUMN(),4),L!$A:$A,0)-1,SL,,)</f>
        <v>Erforderliche Felder</v>
      </c>
      <c r="B3" s="60" t="str">
        <f ca="1">OFFSET(L!$C$1,MATCH("Checker"&amp;ADDRESS(ROW(),COLUMN(),4),L!$A:$A,0)-1,SL,,)</f>
        <v>Antwort ist vorhanden</v>
      </c>
      <c r="C3" s="60" t="str">
        <f ca="1">OFFSET(L!$C$1,MATCH("Checker"&amp;ADDRESS(ROW(),COLUMN(),4),L!$A:$A,0)-1,SL,,)</f>
        <v>Notizen</v>
      </c>
      <c r="D3" s="60" t="str">
        <f ca="1">OFFSET(L!$C$1,MATCH("Checker"&amp;ADDRESS(ROW(),COLUMN(),4),L!$A:$A,0)-1,SL,,)</f>
        <v>Hyperlink zum Ursprung</v>
      </c>
      <c r="F3" s="61" t="s">
        <v>48</v>
      </c>
      <c r="G3" s="15" t="s">
        <v>49</v>
      </c>
      <c r="H3" s="15" t="s">
        <v>50</v>
      </c>
      <c r="I3" s="15" t="s">
        <v>51</v>
      </c>
      <c r="J3" s="15" t="s">
        <v>52</v>
      </c>
    </row>
    <row r="4" spans="1:10" ht="38.25">
      <c r="A4" s="135" t="str">
        <f ca="1">Declaration!B8</f>
        <v>Firmenname (*):</v>
      </c>
      <c r="B4" s="356" t="str">
        <f>Declaration!D8</f>
        <v>RERO AG</v>
      </c>
      <c r="C4" s="136" t="str">
        <f t="shared" ref="C4:C11" ca="1" si="0">IF(H4=1,J4,I4)</f>
        <v>Vollständig</v>
      </c>
      <c r="D4" s="204" t="str">
        <f>IF(H4=1,"Click here to enter Company Name","")</f>
        <v/>
      </c>
      <c r="E4" s="16" t="s">
        <v>15</v>
      </c>
      <c r="F4" s="83">
        <v>1</v>
      </c>
      <c r="G4" s="62">
        <f t="shared" ref="G4:G11" si="1">IF(B4=0,1,0)</f>
        <v>0</v>
      </c>
      <c r="H4" s="63">
        <f t="shared" ref="H4:H17" si="2">F4*G4</f>
        <v>0</v>
      </c>
      <c r="I4" s="131" t="str">
        <f ca="1">OFFSET(L!$C$1,MATCH("Checker"&amp;"Comp",L!$A:$A,0)-1,SL,,)</f>
        <v>Vollständig</v>
      </c>
      <c r="J4" s="358" t="str">
        <f ca="1">OFFSET(L!$C$1,MATCH("Checker"&amp;ADDRESS(ROW(),COLUMN(),4),L!$A:$A,0)-1,SL,,)</f>
        <v>Geben Sie den Namen Ihres Unternehmens in der Reiterzelle D8 der Erklärung an</v>
      </c>
    </row>
    <row r="5" spans="1:10" ht="38.25">
      <c r="A5" s="135" t="str">
        <f ca="1">Declaration!B9</f>
        <v>Geltungsbereich der Erklärung (*):</v>
      </c>
      <c r="B5" s="356" t="str">
        <f>Declaration!D9</f>
        <v>A. Company</v>
      </c>
      <c r="C5" s="136" t="str">
        <f t="shared" ca="1" si="0"/>
        <v>Vollständig</v>
      </c>
      <c r="D5" s="85" t="str">
        <f>IF(H5=1,"Click here to enter Declaration Scope","")</f>
        <v/>
      </c>
      <c r="E5" s="16" t="s">
        <v>15</v>
      </c>
      <c r="F5" s="83">
        <v>1</v>
      </c>
      <c r="G5" s="62">
        <f t="shared" si="1"/>
        <v>0</v>
      </c>
      <c r="H5" s="63">
        <f t="shared" si="2"/>
        <v>0</v>
      </c>
      <c r="I5" s="131" t="str">
        <f ca="1">OFFSET(L!$C$1,MATCH("Checker"&amp;"Comp",L!$A:$A,0)-1,SL,,)</f>
        <v>Vollständig</v>
      </c>
      <c r="J5" s="132" t="str">
        <f ca="1">OFFSET(L!$C$1,MATCH("Checker"&amp;ADDRESS(ROW(),COLUMN(),4),L!$A:$A,0)-1,SL,,)</f>
        <v>Wählen Sie den Umfang der Erklärung in der Reiterzelle D9 der Erklärung aus</v>
      </c>
    </row>
    <row r="6" spans="1:10" ht="22.05" customHeight="1">
      <c r="A6" s="80" t="str">
        <f ca="1">Declaration!B10</f>
        <v>Beschreibung des Geltungsbereichs</v>
      </c>
      <c r="B6" s="79" t="str">
        <f>Declaration!D10</f>
        <v>Metallveredelung</v>
      </c>
      <c r="C6" s="79" t="str">
        <f t="shared" ca="1" si="0"/>
        <v>Vollständig</v>
      </c>
      <c r="D6" s="85" t="str">
        <f>IF(H6=1,"Click here to provide a Description of Scope","")</f>
        <v/>
      </c>
      <c r="E6" s="16" t="s">
        <v>15</v>
      </c>
      <c r="F6" s="84">
        <f>IF(OR(B5=Declaration!P9,B5=Declaration!Q9,B5=0),0,1)</f>
        <v>0</v>
      </c>
      <c r="G6" s="62">
        <f t="shared" si="1"/>
        <v>0</v>
      </c>
      <c r="H6" s="63">
        <f t="shared" si="2"/>
        <v>0</v>
      </c>
      <c r="I6" s="131" t="str">
        <f ca="1">OFFSET(L!$C$1,MATCH("Checker"&amp;"Comp",L!$A:$A,0)-1,SL,,)</f>
        <v>Vollständig</v>
      </c>
      <c r="J6" s="15" t="str">
        <f ca="1">OFFSET(L!$C$1,MATCH("Checker"&amp;ADDRESS(ROW(),COLUMN(),4),L!$A:$A,0)-1,SL,,)</f>
        <v>Geben Sie eine Beschreibung des Umfangs in der Reiterzelle D10 der Erklärung an</v>
      </c>
    </row>
    <row r="7" spans="1:10" ht="22.05" customHeight="1">
      <c r="A7" s="80" t="str">
        <f ca="1">Declaration!B12</f>
        <v>Das antragstellende Unternehmen muss alle Mineralien ausgewählt, die in den Geltungsbereich der Erklärung fallen (*)</v>
      </c>
      <c r="B7" s="82"/>
      <c r="C7" s="79" t="str">
        <f t="shared" ca="1" si="0"/>
        <v>Vollständig</v>
      </c>
      <c r="D7" s="317" t="str">
        <f>IF(H7=1,"Click here to enter Minerals/Metals in Scope","")</f>
        <v/>
      </c>
      <c r="E7" s="16"/>
      <c r="F7" s="83">
        <v>1</v>
      </c>
      <c r="G7" s="308">
        <f>IF(Declaration!B30&lt;&gt;"",0,1)</f>
        <v>0</v>
      </c>
      <c r="H7" s="63">
        <f t="shared" si="2"/>
        <v>0</v>
      </c>
      <c r="I7" s="131" t="str">
        <f ca="1">OFFSET(L!$C$1,MATCH("Checker"&amp;"Comp",L!$A:$A,0)-1,SL,,)</f>
        <v>Vollständig</v>
      </c>
      <c r="J7" s="15">
        <f ca="1">OFFSET(L!$C$1,MATCH("Checker"&amp;ADDRESS(ROW(),COLUMN(),4),L!$A:$A,0)-1,SL,,)</f>
        <v>0</v>
      </c>
    </row>
    <row r="8" spans="1:10" ht="22.05" customHeight="1">
      <c r="A8" s="80">
        <f>Declaration!B14</f>
        <v>0</v>
      </c>
      <c r="B8" s="79"/>
      <c r="C8" s="79"/>
      <c r="D8" s="85"/>
      <c r="E8" s="16"/>
      <c r="F8" s="83"/>
      <c r="G8" s="62"/>
      <c r="H8" s="63"/>
      <c r="I8" s="131"/>
    </row>
    <row r="9" spans="1:10" ht="38.25">
      <c r="A9" s="135" t="str">
        <f ca="1">Declaration!B19</f>
        <v>Name des Ansprechpartners (*):</v>
      </c>
      <c r="B9" s="356" t="str">
        <f>Declaration!D19</f>
        <v>Thomas Tschopp</v>
      </c>
      <c r="C9" s="136" t="str">
        <f t="shared" ca="1" si="0"/>
        <v>Vollständig</v>
      </c>
      <c r="D9" s="317" t="str">
        <f>IF(H9=1,"Click here to enter Contact Name","")</f>
        <v/>
      </c>
      <c r="E9" s="16" t="s">
        <v>15</v>
      </c>
      <c r="F9" s="83">
        <v>1</v>
      </c>
      <c r="G9" s="62">
        <f t="shared" si="1"/>
        <v>0</v>
      </c>
      <c r="H9" s="63">
        <f t="shared" si="2"/>
        <v>0</v>
      </c>
      <c r="I9" s="131" t="str">
        <f ca="1">OFFSET(L!$C$1,MATCH("Checker"&amp;"Comp",L!$A:$A,0)-1,SL,,)</f>
        <v>Vollständig</v>
      </c>
      <c r="J9" s="15" t="str">
        <f ca="1">OFFSET(L!$C$1,MATCH("Checker"&amp;ADDRESS(ROW(),COLUMN(),4),L!$A:$A,0)-1,SL,,)</f>
        <v>Geben Sie einen Kontaktnamen in der Reiterzelle D15 der Erklärung an</v>
      </c>
    </row>
    <row r="10" spans="1:10" ht="38.25">
      <c r="A10" s="135" t="str">
        <f ca="1">Declaration!B20</f>
        <v>E-Mail-Adresse des Ansprechpartners (*):</v>
      </c>
      <c r="B10" s="357" t="str">
        <f>Declaration!D20</f>
        <v>thomas.tschopp@rero-ag.ch</v>
      </c>
      <c r="C10" s="136" t="str">
        <f t="shared" ca="1" si="0"/>
        <v>Vollständig</v>
      </c>
      <c r="D10" s="316" t="str">
        <f>IF(H10=1,"Click here to enter Email-Contact","")</f>
        <v/>
      </c>
      <c r="E10" s="16" t="s">
        <v>15</v>
      </c>
      <c r="F10" s="83">
        <v>1</v>
      </c>
      <c r="G10" s="62">
        <f>IF(ISNUMBER(SEARCH("@",B10)),0,1)</f>
        <v>0</v>
      </c>
      <c r="H10" s="63">
        <f t="shared" si="2"/>
        <v>0</v>
      </c>
      <c r="I10" s="131" t="str">
        <f ca="1">OFFSET(L!$C$1,MATCH("Checker"&amp;"Comp",L!$A:$A,0)-1,SL,,)</f>
        <v>Vollständig</v>
      </c>
      <c r="J10" s="15" t="str">
        <f ca="1">OFFSET(L!$C$1,MATCH("Checker"&amp;ADDRESS(ROW(),COLUMN(),4),L!$A:$A,0)-1,SL,,)</f>
        <v>Geben Sie eine gültige Kontakt-E-Mail-Adresse in der Reiterzelle D16 der Erklärung an</v>
      </c>
    </row>
    <row r="11" spans="1:10" ht="38.25">
      <c r="A11" s="135" t="str">
        <f ca="1">Declaration!B21</f>
        <v>Telefonnummer des Ansprechpartners (*):</v>
      </c>
      <c r="B11" s="356" t="str">
        <f>Declaration!D21</f>
        <v>+41 61 965 95 07</v>
      </c>
      <c r="C11" s="136" t="str">
        <f t="shared" ca="1" si="0"/>
        <v>Vollständig</v>
      </c>
      <c r="D11" s="316" t="str">
        <f>IF(H11=1,"Click here to enter Phone-Contact","")</f>
        <v/>
      </c>
      <c r="E11" s="16" t="s">
        <v>15</v>
      </c>
      <c r="F11" s="83">
        <v>1</v>
      </c>
      <c r="G11" s="62">
        <f t="shared" si="1"/>
        <v>0</v>
      </c>
      <c r="H11" s="63">
        <f t="shared" si="2"/>
        <v>0</v>
      </c>
      <c r="I11" s="131" t="str">
        <f ca="1">OFFSET(L!$C$1,MATCH("Checker"&amp;"Comp",L!$A:$A,0)-1,SL,,)</f>
        <v>Vollständig</v>
      </c>
      <c r="J11" s="15" t="str">
        <f ca="1">OFFSET(L!$C$1,MATCH("Checker"&amp;ADDRESS(ROW(),COLUMN(),4),L!$A:$A,0)-1,SL,,)</f>
        <v>Geben Sie eine Kontakttelefonnummer in der Reiterzelle D17 der Erklärung an</v>
      </c>
    </row>
    <row r="12" spans="1:10" ht="38.25">
      <c r="A12" s="135" t="str">
        <f ca="1">Declaration!B22</f>
        <v>Bevollmächtigter (*):</v>
      </c>
      <c r="B12" s="356" t="str">
        <f>Declaration!D22</f>
        <v>Jochen Hilbert</v>
      </c>
      <c r="C12" s="136" t="str">
        <f t="shared" ref="C12:C72" ca="1" si="3">IF(H12=1,J12,I12)</f>
        <v>Vollständig</v>
      </c>
      <c r="D12" s="316" t="str">
        <f>IF(H12=1,"Click here to enter an Authorized Company Representative's name","")</f>
        <v/>
      </c>
      <c r="E12" s="16" t="s">
        <v>15</v>
      </c>
      <c r="F12" s="83">
        <v>1</v>
      </c>
      <c r="G12" s="62">
        <f t="shared" ref="G12:G17" si="4">IF(B12=0,1,0)</f>
        <v>0</v>
      </c>
      <c r="H12" s="63">
        <f t="shared" si="2"/>
        <v>0</v>
      </c>
      <c r="I12" s="131" t="str">
        <f ca="1">OFFSET(L!$C$1,MATCH("Checker"&amp;"Comp",L!$A:$A,0)-1,SL,,)</f>
        <v>Vollständig</v>
      </c>
      <c r="J12" s="15" t="str">
        <f ca="1">OFFSET(L!$C$1,MATCH("Checker"&amp;ADDRESS(ROW(),COLUMN(),4),L!$A:$A,0)-1,SL,,)</f>
        <v>Geben Sie den Kontaktnamen eines bevollmächtigten Unternehmensvertreters in der Reiterzelle D18 der Erklärung an</v>
      </c>
    </row>
    <row r="13" spans="1:10" ht="25.9">
      <c r="A13" s="80" t="str">
        <f ca="1">Declaration!B24</f>
        <v>E-Mail-Adresse des Bevollmächtigten (*):</v>
      </c>
      <c r="B13" s="81" t="str">
        <f>Declaration!D24</f>
        <v>jochen.hilbert@rero-ag.ch</v>
      </c>
      <c r="C13" s="79" t="str">
        <f t="shared" ca="1" si="3"/>
        <v>Vollständig</v>
      </c>
      <c r="D13" s="316" t="str">
        <f>IF(H13=1,"Click here to enter Representative's email","")</f>
        <v/>
      </c>
      <c r="E13" s="16" t="s">
        <v>18916</v>
      </c>
      <c r="F13" s="83">
        <v>1</v>
      </c>
      <c r="G13" s="62">
        <f>IF(ISNUMBER(SEARCH("@",B13)),0,1)</f>
        <v>0</v>
      </c>
      <c r="H13" s="63">
        <f t="shared" si="2"/>
        <v>0</v>
      </c>
      <c r="I13" s="131" t="str">
        <f ca="1">OFFSET(L!$C$1,MATCH("Checker"&amp;"Comp",L!$A:$A,0)-1,SL,,)</f>
        <v>Vollständig</v>
      </c>
      <c r="J13" s="359" t="str">
        <f ca="1">OFFSET(L!$C$1,MATCH("Checker"&amp;ADDRESS(ROW(),COLUMN(),4),L!$A:$A,0)-1,SL,,)</f>
        <v>Geben Sie eine gültige E-Mail-Adresse eines bevollmächtigten Unternehmensvertreters in der Reiterzelle D20 der Erklärung an</v>
      </c>
    </row>
    <row r="14" spans="1:10" ht="22.05" customHeight="1">
      <c r="A14" s="80"/>
      <c r="B14" s="79"/>
      <c r="C14" s="79"/>
      <c r="D14" s="85"/>
      <c r="E14" s="16" t="s">
        <v>15</v>
      </c>
      <c r="F14" s="83"/>
      <c r="G14" s="62"/>
      <c r="H14" s="63">
        <f>F14*G14</f>
        <v>0</v>
      </c>
      <c r="I14" s="131"/>
    </row>
    <row r="15" spans="1:10" ht="38.25">
      <c r="A15" s="80" t="str">
        <f ca="1">Declaration!B26</f>
        <v>Datum (*):</v>
      </c>
      <c r="B15" s="81">
        <f>Declaration!D26</f>
        <v>45800</v>
      </c>
      <c r="C15" s="79" t="str">
        <f t="shared" ca="1" si="3"/>
        <v>Vollständig</v>
      </c>
      <c r="D15" s="316" t="str">
        <f>IF(H15=1,"Click here to enter Date of Completion","")</f>
        <v/>
      </c>
      <c r="E15" s="16" t="s">
        <v>15</v>
      </c>
      <c r="F15" s="83">
        <v>1</v>
      </c>
      <c r="G15" s="62">
        <f t="shared" si="4"/>
        <v>0</v>
      </c>
      <c r="H15" s="63">
        <f t="shared" si="2"/>
        <v>0</v>
      </c>
      <c r="I15" s="131" t="str">
        <f ca="1">OFFSET(L!$C$1,MATCH("Checker"&amp;"Comp",L!$A:$A,0)-1,SL,,)</f>
        <v>Vollständig</v>
      </c>
      <c r="J15" s="15" t="str">
        <f ca="1">OFFSET(L!$C$1,MATCH("Checker"&amp;ADDRESS(ROW(),COLUMN(),4),L!$A:$A,0)-1,SL,,)</f>
        <v>Geben Sie das Datum der Vervollständigung des Formulars in der Reiterzelle D22 der Erklärung an</v>
      </c>
    </row>
    <row r="16" spans="1:10" ht="25.05" customHeight="1">
      <c r="A16" s="79" t="str">
        <f ca="1">Declaration!B29</f>
        <v>1) Wird absichtlich angegebenen Mineralien im Herstellungsprozess verwendet oder in das bzw. die Produkte aufgenommen? (*)</v>
      </c>
      <c r="B16" s="82"/>
      <c r="C16" s="82"/>
      <c r="D16" s="86"/>
      <c r="E16" s="16" t="s">
        <v>16</v>
      </c>
      <c r="F16" s="83"/>
      <c r="H16" s="15">
        <f t="shared" si="2"/>
        <v>0</v>
      </c>
    </row>
    <row r="17" spans="1:10" ht="25.05" customHeight="1">
      <c r="A17" s="80" t="str">
        <f>Declaration!B30</f>
        <v>Cobalt(*)</v>
      </c>
      <c r="B17" s="79" t="str">
        <f>Declaration!D30</f>
        <v>Yes</v>
      </c>
      <c r="C17" s="79" t="str">
        <f t="shared" ca="1" si="3"/>
        <v>Vollständig</v>
      </c>
      <c r="D17" s="316" t="str">
        <f>IF(H17=1,"Click here to answer question 1 for specified mineral","")</f>
        <v/>
      </c>
      <c r="E17" s="16" t="s">
        <v>18</v>
      </c>
      <c r="F17" s="323">
        <f>IF(A17="",0,1)</f>
        <v>1</v>
      </c>
      <c r="G17" s="62">
        <f t="shared" si="4"/>
        <v>0</v>
      </c>
      <c r="H17" s="63">
        <f t="shared" si="2"/>
        <v>0</v>
      </c>
      <c r="I17" s="131" t="str">
        <f ca="1">OFFSET(L!$C$1,MATCH("Checker"&amp;"Comp",L!$A:$A,0)-1,SL,,)</f>
        <v>Vollständig</v>
      </c>
      <c r="J17" s="132" t="str">
        <f ca="1">OFFSET(L!$C$1,MATCH("Checker"&amp;ADDRESS(ROW(),COLUMN(),4),L!$A:$A,0)-1,SL,,)</f>
        <v>Erklären Sie in der Reiterzelle D30 der Erklärung, ob angegebenen Mineralien Ihren Produkten absichtlich hinzugefügt wird</v>
      </c>
    </row>
    <row r="18" spans="1:10" ht="25.05" customHeight="1">
      <c r="A18" s="80" t="str">
        <f>Declaration!B31</f>
        <v/>
      </c>
      <c r="B18" s="79">
        <f>Declaration!D31</f>
        <v>0</v>
      </c>
      <c r="C18" s="79" t="str">
        <f t="shared" ca="1" si="3"/>
        <v>Vollständig</v>
      </c>
      <c r="D18" s="316" t="str">
        <f>IF(H18=1,"Click here to answer question 1 for specified mineral","")</f>
        <v/>
      </c>
      <c r="E18" s="16" t="s">
        <v>15</v>
      </c>
      <c r="F18" s="323">
        <f t="shared" ref="F18:F22" si="5">IF(A18="",0,1)</f>
        <v>0</v>
      </c>
      <c r="G18" s="62">
        <f t="shared" ref="G18:G22" si="6">IF(B18=0,1,0)</f>
        <v>1</v>
      </c>
      <c r="H18" s="63">
        <f t="shared" ref="H18:H22" si="7">F18*G18</f>
        <v>0</v>
      </c>
      <c r="I18" s="131" t="str">
        <f ca="1">OFFSET(L!$C$1,MATCH("Checker"&amp;"Comp",L!$A:$A,0)-1,SL,,)</f>
        <v>Vollständig</v>
      </c>
      <c r="J18" s="132" t="str">
        <f ca="1">OFFSET(L!$C$1,MATCH("Checker"&amp;ADDRESS(ROW(),COLUMN(),4),L!$A:$A,0)-1,SL,,)</f>
        <v>Erklären Sie in der Reiterzelle D31 der Erklärung, ob angegebenen Mineralien Ihren Produkten absichtlich hinzugefügt wird</v>
      </c>
    </row>
    <row r="19" spans="1:10" ht="25.05" customHeight="1">
      <c r="A19" s="80" t="str">
        <f>Declaration!B32</f>
        <v/>
      </c>
      <c r="B19" s="79">
        <f>Declaration!D32</f>
        <v>0</v>
      </c>
      <c r="C19" s="79" t="str">
        <f t="shared" ca="1" si="3"/>
        <v>Vollständig</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Vollständig</v>
      </c>
      <c r="J19" s="132" t="str">
        <f ca="1">OFFSET(L!$C$1,MATCH("Checker"&amp;ADDRESS(ROW(),COLUMN(),4),L!$A:$A,0)-1,SL,,)</f>
        <v>Erklären Sie in der Reiterzelle D32 der Erklärung, ob angegebenen Mineralien Ihren Produkten absichtlich hinzugefügt wird</v>
      </c>
    </row>
    <row r="20" spans="1:10" ht="25.05" customHeight="1">
      <c r="A20" s="80" t="str">
        <f>Declaration!B33</f>
        <v/>
      </c>
      <c r="B20" s="79">
        <f>Declaration!D33</f>
        <v>0</v>
      </c>
      <c r="C20" s="79" t="str">
        <f t="shared" ca="1" si="3"/>
        <v>Vollständig</v>
      </c>
      <c r="D20" s="316" t="str">
        <f t="shared" si="8"/>
        <v/>
      </c>
      <c r="E20" s="16" t="s">
        <v>15</v>
      </c>
      <c r="F20" s="323">
        <f t="shared" si="5"/>
        <v>0</v>
      </c>
      <c r="G20" s="62">
        <f t="shared" si="6"/>
        <v>1</v>
      </c>
      <c r="H20" s="63">
        <f t="shared" si="7"/>
        <v>0</v>
      </c>
      <c r="I20" s="131" t="str">
        <f ca="1">OFFSET(L!$C$1,MATCH("Checker"&amp;"Comp",L!$A:$A,0)-1,SL,,)</f>
        <v>Vollständig</v>
      </c>
      <c r="J20" s="132" t="str">
        <f ca="1">OFFSET(L!$C$1,MATCH("Checker"&amp;ADDRESS(ROW(),COLUMN(),4),L!$A:$A,0)-1,SL,,)</f>
        <v>Erklären Sie in der Reiterzelle D33 der Erklärung, ob angegebenen Mineralien Ihren Produkten absichtlich hinzugefügt wird</v>
      </c>
    </row>
    <row r="21" spans="1:10" ht="25.05" customHeight="1">
      <c r="A21" s="80" t="str">
        <f>Declaration!B34</f>
        <v/>
      </c>
      <c r="B21" s="79">
        <f>Declaration!D34</f>
        <v>0</v>
      </c>
      <c r="C21" s="79" t="str">
        <f t="shared" ca="1" si="3"/>
        <v>Vollständig</v>
      </c>
      <c r="D21" s="316" t="str">
        <f t="shared" si="8"/>
        <v/>
      </c>
      <c r="E21" s="16"/>
      <c r="F21" s="323">
        <f t="shared" si="5"/>
        <v>0</v>
      </c>
      <c r="G21" s="62">
        <f t="shared" si="6"/>
        <v>1</v>
      </c>
      <c r="H21" s="63">
        <f t="shared" si="7"/>
        <v>0</v>
      </c>
      <c r="I21" s="131" t="str">
        <f ca="1">OFFSET(L!$C$1,MATCH("Checker"&amp;"Comp",L!$A:$A,0)-1,SL,,)</f>
        <v>Vollständig</v>
      </c>
      <c r="J21" s="132" t="str">
        <f ca="1">OFFSET(L!$C$1,MATCH("Checker"&amp;ADDRESS(ROW(),COLUMN(),4),L!$A:$A,0)-1,SL,,)</f>
        <v>Erklären Sie in der Reiterzelle D34 der Erklärung, ob angegebenen Mineralien Ihren Produkten absichtlich hinzugefügt wird</v>
      </c>
    </row>
    <row r="22" spans="1:10" ht="25.05" customHeight="1">
      <c r="A22" s="80" t="str">
        <f>Declaration!B35</f>
        <v/>
      </c>
      <c r="B22" s="79">
        <f>Declaration!D35</f>
        <v>0</v>
      </c>
      <c r="C22" s="79" t="str">
        <f t="shared" ca="1" si="3"/>
        <v>Vollständig</v>
      </c>
      <c r="D22" s="316" t="str">
        <f t="shared" si="8"/>
        <v/>
      </c>
      <c r="E22" s="16"/>
      <c r="F22" s="323">
        <f t="shared" si="5"/>
        <v>0</v>
      </c>
      <c r="G22" s="62">
        <f t="shared" si="6"/>
        <v>1</v>
      </c>
      <c r="H22" s="63">
        <f t="shared" si="7"/>
        <v>0</v>
      </c>
      <c r="I22" s="131" t="str">
        <f ca="1">OFFSET(L!$C$1,MATCH("Checker"&amp;"Comp",L!$A:$A,0)-1,SL,,)</f>
        <v>Vollständig</v>
      </c>
      <c r="J22" s="132" t="str">
        <f ca="1">OFFSET(L!$C$1,MATCH("Checker"&amp;ADDRESS(ROW(),COLUMN(),4),L!$A:$A,0)-1,SL,,)</f>
        <v>Erklären Sie in der Reiterzelle D35 der Erklärung, ob angegebenen Mineralien Ihren Produkten absichtlich hinzugefügt wird</v>
      </c>
    </row>
    <row r="23" spans="1:10" ht="22.05" hidden="1" customHeight="1">
      <c r="A23" s="80" t="str">
        <f>Declaration!B36</f>
        <v/>
      </c>
      <c r="B23" s="79">
        <f>Declaration!D36</f>
        <v>0</v>
      </c>
      <c r="C23" s="79">
        <f t="shared" si="3"/>
        <v>0</v>
      </c>
      <c r="D23" s="85"/>
      <c r="E23" s="16"/>
      <c r="F23" s="323"/>
      <c r="G23" s="62"/>
      <c r="H23" s="63"/>
      <c r="I23" s="131"/>
      <c r="J23" s="132"/>
    </row>
    <row r="24" spans="1:10" ht="22.05" hidden="1" customHeight="1">
      <c r="A24" s="80" t="str">
        <f>Declaration!B37</f>
        <v/>
      </c>
      <c r="B24" s="79">
        <f>Declaration!D37</f>
        <v>0</v>
      </c>
      <c r="C24" s="79">
        <f t="shared" si="3"/>
        <v>0</v>
      </c>
      <c r="D24" s="85"/>
      <c r="E24" s="16"/>
      <c r="F24" s="323"/>
      <c r="G24" s="62"/>
      <c r="H24" s="63"/>
      <c r="I24" s="131"/>
      <c r="J24" s="132"/>
    </row>
    <row r="25" spans="1:10" ht="22.05" hidden="1" customHeight="1">
      <c r="A25" s="80" t="str">
        <f>Declaration!B38</f>
        <v/>
      </c>
      <c r="B25" s="79">
        <f>Declaration!D38</f>
        <v>0</v>
      </c>
      <c r="C25" s="79">
        <f t="shared" si="3"/>
        <v>0</v>
      </c>
      <c r="D25" s="85"/>
      <c r="E25" s="16"/>
      <c r="F25" s="323"/>
      <c r="G25" s="62"/>
      <c r="H25" s="63"/>
      <c r="I25" s="131"/>
      <c r="J25" s="132"/>
    </row>
    <row r="26" spans="1:10" ht="22.05" hidden="1" customHeight="1">
      <c r="A26" s="80" t="str">
        <f>Declaration!B39</f>
        <v/>
      </c>
      <c r="B26" s="79">
        <f>Declaration!D39</f>
        <v>0</v>
      </c>
      <c r="C26" s="79">
        <f t="shared" si="3"/>
        <v>0</v>
      </c>
      <c r="D26" s="85"/>
      <c r="E26" s="16"/>
      <c r="F26" s="323"/>
      <c r="G26" s="62"/>
      <c r="H26" s="63"/>
      <c r="I26" s="131"/>
      <c r="J26" s="132"/>
    </row>
    <row r="27" spans="1:10" ht="25.05" customHeight="1">
      <c r="A27" s="79" t="str">
        <f ca="1">Declaration!B41</f>
        <v>2) Verbleibt angegebenen Mineralien in dem bzw. den Produkten? (*)(*)</v>
      </c>
      <c r="B27" s="82"/>
      <c r="C27" s="82"/>
      <c r="D27" s="86"/>
      <c r="E27" s="16" t="s">
        <v>15</v>
      </c>
      <c r="F27" s="83"/>
      <c r="J27" s="132"/>
    </row>
    <row r="28" spans="1:10" ht="49.5">
      <c r="A28" s="80" t="str">
        <f>Declaration!B42</f>
        <v>Cobalt(*)</v>
      </c>
      <c r="B28" s="79" t="str">
        <f>Declaration!D42</f>
        <v>Yes</v>
      </c>
      <c r="C28" s="136" t="str">
        <f t="shared" ref="C28:C37" ca="1" si="9">IF(H28=1,J28,I28)</f>
        <v>Vollständig</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Vollständig</v>
      </c>
      <c r="J28" s="15" t="str">
        <f ca="1">OFFSET(L!$C$1,MATCH("Checker"&amp;ADDRESS(ROW(),COLUMN(),4),L!$A:$A,0)-1,SL,,)</f>
        <v>Erklären Sie in der Reiterzelle D42 der Erklärung, ob angegebenen Mineralien für die Herstellung Ihrer Produkte erforderlich ist und ob es in den angegebenen Endprodukten enthalten ist</v>
      </c>
    </row>
    <row r="29" spans="1:10" ht="49.5">
      <c r="A29" s="80" t="str">
        <f>Declaration!B43</f>
        <v/>
      </c>
      <c r="B29" s="79">
        <f>Declaration!D43</f>
        <v>0</v>
      </c>
      <c r="C29" s="136" t="str">
        <f t="shared" ca="1" si="9"/>
        <v>Vollständig</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Vollständig</v>
      </c>
      <c r="J29" s="15" t="str">
        <f ca="1">OFFSET(L!$C$1,MATCH("Checker"&amp;ADDRESS(ROW(),COLUMN(),4),L!$A:$A,0)-1,SL,,)</f>
        <v>Erklären Sie in der Reiterzelle D43 der Erklärung, ob angegebenen Mineralien für die Herstellung Ihrer Produkte erforderlich ist und ob es in den angegebenen Endprodukten enthalten ist</v>
      </c>
    </row>
    <row r="30" spans="1:10" ht="49.5">
      <c r="A30" s="80" t="str">
        <f>Declaration!B44</f>
        <v/>
      </c>
      <c r="B30" s="79">
        <f>Declaration!D44</f>
        <v>0</v>
      </c>
      <c r="C30" s="136" t="str">
        <f t="shared" ca="1" si="9"/>
        <v>Vollständig</v>
      </c>
      <c r="D30" s="316" t="str">
        <f t="shared" si="10"/>
        <v/>
      </c>
      <c r="E30" s="16"/>
      <c r="F30" s="84">
        <f t="shared" si="11"/>
        <v>0</v>
      </c>
      <c r="G30" s="62">
        <f t="shared" si="12"/>
        <v>1</v>
      </c>
      <c r="H30" s="63">
        <f t="shared" si="13"/>
        <v>0</v>
      </c>
      <c r="I30" s="131" t="str">
        <f ca="1">OFFSET(L!$C$1,MATCH("Checker"&amp;"Comp",L!$A:$A,0)-1,SL,,)</f>
        <v>Vollständig</v>
      </c>
      <c r="J30" s="15" t="str">
        <f ca="1">OFFSET(L!$C$1,MATCH("Checker"&amp;ADDRESS(ROW(),COLUMN(),4),L!$A:$A,0)-1,SL,,)</f>
        <v>Erklären Sie in der Reiterzelle D44 der Erklärung, ob angegebenen Mineralien für die Herstellung Ihrer Produkte erforderlich ist und ob es in den angegebenen Endprodukten enthalten ist</v>
      </c>
    </row>
    <row r="31" spans="1:10" ht="49.5">
      <c r="A31" s="80" t="str">
        <f>Declaration!B45</f>
        <v/>
      </c>
      <c r="B31" s="79">
        <f>Declaration!D45</f>
        <v>0</v>
      </c>
      <c r="C31" s="136" t="str">
        <f t="shared" ca="1" si="9"/>
        <v>Vollständig</v>
      </c>
      <c r="D31" s="316" t="str">
        <f t="shared" si="10"/>
        <v/>
      </c>
      <c r="E31" s="16"/>
      <c r="F31" s="84">
        <f t="shared" si="11"/>
        <v>0</v>
      </c>
      <c r="G31" s="62">
        <f t="shared" si="12"/>
        <v>1</v>
      </c>
      <c r="H31" s="63">
        <f t="shared" si="13"/>
        <v>0</v>
      </c>
      <c r="I31" s="131" t="str">
        <f ca="1">OFFSET(L!$C$1,MATCH("Checker"&amp;"Comp",L!$A:$A,0)-1,SL,,)</f>
        <v>Vollständig</v>
      </c>
      <c r="J31" s="15" t="str">
        <f ca="1">OFFSET(L!$C$1,MATCH("Checker"&amp;ADDRESS(ROW(),COLUMN(),4),L!$A:$A,0)-1,SL,,)</f>
        <v>Erklären Sie in der Reiterzelle D45 der Erklärung, ob angegebenen Mineralien für die Herstellung Ihrer Produkte erforderlich ist und ob es in den angegebenen Endprodukten enthalten ist</v>
      </c>
    </row>
    <row r="32" spans="1:10" ht="49.5">
      <c r="A32" s="80" t="str">
        <f>Declaration!B46</f>
        <v/>
      </c>
      <c r="B32" s="79">
        <f>Declaration!D46</f>
        <v>0</v>
      </c>
      <c r="C32" s="136" t="str">
        <f t="shared" ca="1" si="9"/>
        <v>Vollständig</v>
      </c>
      <c r="D32" s="316" t="str">
        <f t="shared" si="10"/>
        <v/>
      </c>
      <c r="E32" s="16"/>
      <c r="F32" s="84">
        <f t="shared" si="11"/>
        <v>0</v>
      </c>
      <c r="G32" s="62">
        <f t="shared" si="12"/>
        <v>1</v>
      </c>
      <c r="H32" s="63">
        <f t="shared" si="13"/>
        <v>0</v>
      </c>
      <c r="I32" s="131" t="str">
        <f ca="1">OFFSET(L!$C$1,MATCH("Checker"&amp;"Comp",L!$A:$A,0)-1,SL,,)</f>
        <v>Vollständig</v>
      </c>
      <c r="J32" s="15" t="str">
        <f ca="1">OFFSET(L!$C$1,MATCH("Checker"&amp;ADDRESS(ROW(),COLUMN(),4),L!$A:$A,0)-1,SL,,)</f>
        <v>Erklären Sie in der Reiterzelle D46 der Erklärung, ob angegebenen Mineralien für die Herstellung Ihrer Produkte erforderlich ist und ob es in den angegebenen Endprodukten enthalten ist</v>
      </c>
    </row>
    <row r="33" spans="1:10" ht="49.5">
      <c r="A33" s="80" t="str">
        <f>Declaration!B47</f>
        <v/>
      </c>
      <c r="B33" s="79">
        <f>Declaration!D47</f>
        <v>0</v>
      </c>
      <c r="C33" s="136" t="str">
        <f t="shared" ca="1" si="9"/>
        <v>Vollständig</v>
      </c>
      <c r="D33" s="316" t="str">
        <f t="shared" si="10"/>
        <v/>
      </c>
      <c r="E33" s="16"/>
      <c r="F33" s="84">
        <f t="shared" si="11"/>
        <v>0</v>
      </c>
      <c r="G33" s="62">
        <f t="shared" si="12"/>
        <v>1</v>
      </c>
      <c r="H33" s="63">
        <f t="shared" si="13"/>
        <v>0</v>
      </c>
      <c r="I33" s="131" t="str">
        <f ca="1">OFFSET(L!$C$1,MATCH("Checker"&amp;"Comp",L!$A:$A,0)-1,SL,,)</f>
        <v>Vollständig</v>
      </c>
      <c r="J33" s="15" t="str">
        <f ca="1">OFFSET(L!$C$1,MATCH("Checker"&amp;ADDRESS(ROW(),COLUMN(),4),L!$A:$A,0)-1,SL,,)</f>
        <v>Erklären Sie in der Reiterzelle D47 der Erklärung, ob angegebenen Mineralien für die Herstellung Ihrer Produkte erforderlich ist und ob es in den angegebenen Endprodukten enthalten ist</v>
      </c>
    </row>
    <row r="34" spans="1:10" ht="22.05" hidden="1" customHeight="1">
      <c r="A34" s="80" t="str">
        <f>Declaration!B48</f>
        <v/>
      </c>
      <c r="B34" s="79">
        <f>Declaration!D48</f>
        <v>0</v>
      </c>
      <c r="C34" s="136">
        <f t="shared" si="9"/>
        <v>0</v>
      </c>
      <c r="D34" s="229"/>
      <c r="E34" s="16"/>
      <c r="F34" s="84"/>
      <c r="G34" s="62"/>
      <c r="H34" s="63"/>
      <c r="I34" s="131"/>
    </row>
    <row r="35" spans="1:10" ht="22.05" hidden="1" customHeight="1">
      <c r="A35" s="80" t="str">
        <f>Declaration!B49</f>
        <v/>
      </c>
      <c r="B35" s="79">
        <f>Declaration!D49</f>
        <v>0</v>
      </c>
      <c r="C35" s="136">
        <f t="shared" si="9"/>
        <v>0</v>
      </c>
      <c r="D35" s="229"/>
      <c r="E35" s="16"/>
      <c r="F35" s="84"/>
      <c r="G35" s="62"/>
      <c r="H35" s="63"/>
      <c r="I35" s="131"/>
    </row>
    <row r="36" spans="1:10" ht="22.05" hidden="1" customHeight="1">
      <c r="A36" s="80" t="str">
        <f>Declaration!B50</f>
        <v/>
      </c>
      <c r="B36" s="79">
        <f>Declaration!D50</f>
        <v>0</v>
      </c>
      <c r="C36" s="136">
        <f t="shared" si="9"/>
        <v>0</v>
      </c>
      <c r="D36" s="229"/>
      <c r="E36" s="16"/>
      <c r="F36" s="84"/>
      <c r="G36" s="62"/>
      <c r="H36" s="63"/>
      <c r="I36" s="131"/>
    </row>
    <row r="37" spans="1:10" ht="22.05" hidden="1" customHeight="1">
      <c r="A37" s="80" t="str">
        <f>Declaration!B51</f>
        <v/>
      </c>
      <c r="B37" s="79">
        <f>Declaration!D51</f>
        <v>0</v>
      </c>
      <c r="C37" s="136">
        <f t="shared" si="9"/>
        <v>0</v>
      </c>
      <c r="D37" s="229"/>
      <c r="E37" s="16"/>
      <c r="F37" s="84"/>
      <c r="G37" s="62"/>
      <c r="H37" s="63"/>
      <c r="I37" s="131"/>
    </row>
    <row r="38" spans="1:10" ht="25.05" customHeight="1">
      <c r="A38" s="79" t="str">
        <f ca="1">Declaration!B53</f>
        <v>3) Bezieht einer der Verhüttungsbetrieb oder das Verarbeitungsunternehmen in Ihrer Lieferkette das angegebenen Mineralien aus Konflikt- und Hochrisikogebieten? (OECD Due Diligence Guidance, siehe Registerkarte Definitionen)(*)</v>
      </c>
      <c r="B38" s="82"/>
      <c r="C38" s="82"/>
      <c r="D38" s="86"/>
      <c r="E38" s="16" t="s">
        <v>15</v>
      </c>
      <c r="F38" s="83"/>
      <c r="J38" s="132"/>
    </row>
    <row r="39" spans="1:10" ht="49.5">
      <c r="A39" s="80" t="str">
        <f>Declaration!B54</f>
        <v>Cobalt(*)</v>
      </c>
      <c r="B39" s="79" t="str">
        <f>Declaration!D54</f>
        <v>Yes</v>
      </c>
      <c r="C39" s="136" t="str">
        <f t="shared" ca="1" si="3"/>
        <v>Vollständig</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Vollständig</v>
      </c>
      <c r="J39" s="15" t="str">
        <f ca="1">OFFSET(L!$C$1,MATCH("Checker"&amp;ADDRESS(ROW(),COLUMN(),4),L!$A:$A,0)-1,SL,,)</f>
        <v>Geben Sie in Zelle D54 der Erklärung, ob innerhalb des Umfangs der in dieser Umfrage angegebenen Produkte verwendetes angegebenen Mineralien aus einem konfliktbetroffenen und risikoreichen Gebiet stammt</v>
      </c>
    </row>
    <row r="40" spans="1:10" ht="49.5">
      <c r="A40" s="80" t="str">
        <f>Declaration!B55</f>
        <v/>
      </c>
      <c r="B40" s="79">
        <f>Declaration!D55</f>
        <v>0</v>
      </c>
      <c r="C40" s="136" t="str">
        <f t="shared" ca="1" si="3"/>
        <v>Vollständig</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Vollständig</v>
      </c>
      <c r="J40" s="15" t="str">
        <f ca="1">OFFSET(L!$C$1,MATCH("Checker"&amp;ADDRESS(ROW(),COLUMN(),4),L!$A:$A,0)-1,SL,,)</f>
        <v>Geben Sie in Zelle D55 der Erklärung, ob innerhalb des Umfangs der in dieser Umfrage angegebenen Produkte verwendetes angegebenen Mineralien aus einem konfliktbetroffenen und risikoreichen Gebiet stammt</v>
      </c>
    </row>
    <row r="41" spans="1:10" ht="49.5">
      <c r="A41" s="80" t="str">
        <f>Declaration!B56</f>
        <v/>
      </c>
      <c r="B41" s="79">
        <f>Declaration!D56</f>
        <v>0</v>
      </c>
      <c r="C41" s="136" t="str">
        <f t="shared" ca="1" si="3"/>
        <v>Vollständig</v>
      </c>
      <c r="D41" s="318" t="str">
        <f t="shared" si="16"/>
        <v/>
      </c>
      <c r="E41" s="16"/>
      <c r="F41" s="84">
        <f t="shared" si="17"/>
        <v>0</v>
      </c>
      <c r="G41" s="62">
        <f t="shared" si="18"/>
        <v>1</v>
      </c>
      <c r="H41" s="63">
        <f t="shared" si="19"/>
        <v>0</v>
      </c>
      <c r="I41" s="131" t="str">
        <f ca="1">OFFSET(L!$C$1,MATCH("Checker"&amp;"Comp",L!$A:$A,0)-1,SL,,)</f>
        <v>Vollständig</v>
      </c>
      <c r="J41" s="15" t="str">
        <f ca="1">OFFSET(L!$C$1,MATCH("Checker"&amp;ADDRESS(ROW(),COLUMN(),4),L!$A:$A,0)-1,SL,,)</f>
        <v>Geben Sie in Zelle D56 der Erklärung, ob innerhalb des Umfangs der in dieser Umfrage angegebenen Produkte verwendetes angegebenen Mineralien aus einem konfliktbetroffenen und risikoreichen Gebiet stammt</v>
      </c>
    </row>
    <row r="42" spans="1:10" ht="49.5">
      <c r="A42" s="80" t="str">
        <f>Declaration!B57</f>
        <v/>
      </c>
      <c r="B42" s="79">
        <f>Declaration!D57</f>
        <v>0</v>
      </c>
      <c r="C42" s="136" t="str">
        <f t="shared" ca="1" si="3"/>
        <v>Vollständig</v>
      </c>
      <c r="D42" s="318" t="str">
        <f t="shared" si="16"/>
        <v/>
      </c>
      <c r="E42" s="16"/>
      <c r="F42" s="84">
        <f t="shared" si="17"/>
        <v>0</v>
      </c>
      <c r="G42" s="62">
        <f t="shared" si="18"/>
        <v>1</v>
      </c>
      <c r="H42" s="63">
        <f t="shared" si="19"/>
        <v>0</v>
      </c>
      <c r="I42" s="131" t="str">
        <f ca="1">OFFSET(L!$C$1,MATCH("Checker"&amp;"Comp",L!$A:$A,0)-1,SL,,)</f>
        <v>Vollständig</v>
      </c>
      <c r="J42" s="15" t="str">
        <f ca="1">OFFSET(L!$C$1,MATCH("Checker"&amp;ADDRESS(ROW(),COLUMN(),4),L!$A:$A,0)-1,SL,,)</f>
        <v>Geben Sie in Zelle D57 der Erklärung, ob innerhalb des Umfangs der in dieser Umfrage angegebenen Produkte verwendetes angegebenen Mineralien aus einem konfliktbetroffenen und risikoreichen Gebiet stammt</v>
      </c>
    </row>
    <row r="43" spans="1:10" ht="49.5">
      <c r="A43" s="80" t="str">
        <f>Declaration!B58</f>
        <v/>
      </c>
      <c r="B43" s="79">
        <f>Declaration!D58</f>
        <v>0</v>
      </c>
      <c r="C43" s="136" t="str">
        <f t="shared" ca="1" si="3"/>
        <v>Vollständig</v>
      </c>
      <c r="D43" s="318" t="str">
        <f t="shared" si="16"/>
        <v/>
      </c>
      <c r="E43" s="16"/>
      <c r="F43" s="84">
        <f t="shared" si="17"/>
        <v>0</v>
      </c>
      <c r="G43" s="62">
        <f t="shared" si="18"/>
        <v>1</v>
      </c>
      <c r="H43" s="63">
        <f t="shared" si="19"/>
        <v>0</v>
      </c>
      <c r="I43" s="131" t="str">
        <f ca="1">OFFSET(L!$C$1,MATCH("Checker"&amp;"Comp",L!$A:$A,0)-1,SL,,)</f>
        <v>Vollständig</v>
      </c>
      <c r="J43" s="15" t="str">
        <f ca="1">OFFSET(L!$C$1,MATCH("Checker"&amp;ADDRESS(ROW(),COLUMN(),4),L!$A:$A,0)-1,SL,,)</f>
        <v>Geben Sie in Zelle D58 der Erklärung, ob innerhalb des Umfangs der in dieser Umfrage angegebenen Produkte verwendetes angegebenen Mineralien aus einem konfliktbetroffenen und risikoreichen Gebiet stammt</v>
      </c>
    </row>
    <row r="44" spans="1:10" ht="49.5">
      <c r="A44" s="80" t="str">
        <f>Declaration!B59</f>
        <v/>
      </c>
      <c r="B44" s="79">
        <f>Declaration!D59</f>
        <v>0</v>
      </c>
      <c r="C44" s="136" t="str">
        <f t="shared" ca="1" si="3"/>
        <v>Vollständig</v>
      </c>
      <c r="D44" s="318" t="str">
        <f t="shared" si="16"/>
        <v/>
      </c>
      <c r="E44" s="16"/>
      <c r="F44" s="84">
        <f t="shared" si="17"/>
        <v>0</v>
      </c>
      <c r="G44" s="62">
        <f t="shared" si="18"/>
        <v>1</v>
      </c>
      <c r="H44" s="63">
        <f t="shared" si="19"/>
        <v>0</v>
      </c>
      <c r="I44" s="131" t="str">
        <f ca="1">OFFSET(L!$C$1,MATCH("Checker"&amp;"Comp",L!$A:$A,0)-1,SL,,)</f>
        <v>Vollständig</v>
      </c>
      <c r="J44" s="15" t="str">
        <f ca="1">OFFSET(L!$C$1,MATCH("Checker"&amp;ADDRESS(ROW(),COLUMN(),4),L!$A:$A,0)-1,SL,,)</f>
        <v>Geben Sie in Zelle D59 der Erklärung, ob innerhalb des Umfangs der in dieser Umfrage angegebenen Produkte verwendetes angegebenen Mineralien aus einem konfliktbetroffenen und risikoreichen Gebiet stammt</v>
      </c>
    </row>
    <row r="45" spans="1:10" ht="22.05" hidden="1" customHeight="1">
      <c r="A45" s="80" t="str">
        <f>Declaration!B60</f>
        <v/>
      </c>
      <c r="B45" s="79">
        <f>Declaration!D60</f>
        <v>0</v>
      </c>
      <c r="C45" s="136">
        <f t="shared" si="3"/>
        <v>0</v>
      </c>
      <c r="D45" s="229"/>
      <c r="E45" s="16"/>
      <c r="F45" s="84"/>
      <c r="G45" s="62"/>
      <c r="H45" s="63"/>
      <c r="I45" s="131"/>
    </row>
    <row r="46" spans="1:10" ht="22.05" hidden="1" customHeight="1">
      <c r="A46" s="80" t="str">
        <f>Declaration!B61</f>
        <v/>
      </c>
      <c r="B46" s="79">
        <f>Declaration!D61</f>
        <v>0</v>
      </c>
      <c r="C46" s="136">
        <f t="shared" si="3"/>
        <v>0</v>
      </c>
      <c r="D46" s="229"/>
      <c r="E46" s="16"/>
      <c r="F46" s="84"/>
      <c r="G46" s="62"/>
      <c r="H46" s="63"/>
      <c r="I46" s="131"/>
    </row>
    <row r="47" spans="1:10" ht="22.05" hidden="1" customHeight="1">
      <c r="A47" s="80" t="str">
        <f>Declaration!B62</f>
        <v/>
      </c>
      <c r="B47" s="79">
        <f>Declaration!D62</f>
        <v>0</v>
      </c>
      <c r="C47" s="136">
        <f t="shared" si="3"/>
        <v>0</v>
      </c>
      <c r="D47" s="229"/>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Stammt 100 Prozent des angegebenen Mineralien aus Recycling- oder Schrottquellen?(*)</v>
      </c>
      <c r="B49" s="82"/>
      <c r="C49" s="82"/>
      <c r="D49" s="86"/>
      <c r="E49" s="16" t="s">
        <v>15</v>
      </c>
      <c r="F49" s="83"/>
      <c r="J49" s="132"/>
    </row>
    <row r="50" spans="1:10" ht="55.5" customHeight="1">
      <c r="A50" s="80" t="str">
        <f>Declaration!B66</f>
        <v>Cobalt(*)</v>
      </c>
      <c r="B50" s="79" t="str">
        <f>Declaration!D66</f>
        <v>No</v>
      </c>
      <c r="C50" s="136" t="str">
        <f ca="1">IF(H50=1,J50,I50)</f>
        <v>Vollständig</v>
      </c>
      <c r="D50" s="318" t="str">
        <f>IF(H50=1,"Click here to answer question 4 for specified mineral","")</f>
        <v/>
      </c>
      <c r="E50" s="16" t="s">
        <v>15</v>
      </c>
      <c r="F50" s="84">
        <f>F39</f>
        <v>1</v>
      </c>
      <c r="G50" s="62">
        <f>IF(B50=0,1,0)</f>
        <v>0</v>
      </c>
      <c r="H50" s="63">
        <f>F50*G50</f>
        <v>0</v>
      </c>
      <c r="I50" s="131" t="str">
        <f ca="1">OFFSET(L!$C$1,MATCH("Checker"&amp;"Comp",L!$A:$A,0)-1,SL,,)</f>
        <v>Vollständig</v>
      </c>
      <c r="J50" s="132" t="str">
        <f ca="1">OFFSET(L!$C$1,MATCH("Checker"&amp;ADDRESS(ROW(),COLUMN(),4),L!$A:$A,0)-1,SL,,)</f>
        <v>Erklären Sie in der Reiterzelle D66 der Erklärung, ob innerhalb des Umfangs der in dieser Umfrage angegebenen Produkte verwendetes angegebenen Mineralien vollständig aus Recycling oder Schrott stammt</v>
      </c>
    </row>
    <row r="51" spans="1:10" ht="55.5" customHeight="1">
      <c r="A51" s="80" t="str">
        <f>Declaration!B67</f>
        <v/>
      </c>
      <c r="B51" s="79">
        <f>Declaration!D67</f>
        <v>0</v>
      </c>
      <c r="C51" s="136" t="str">
        <f t="shared" ref="C51:C59" ca="1" si="20">IF(H51=1,J51,I51)</f>
        <v>Vollständig</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Vollständig</v>
      </c>
      <c r="J51" s="132" t="str">
        <f ca="1">OFFSET(L!$C$1,MATCH("Checker"&amp;ADDRESS(ROW(),COLUMN(),4),L!$A:$A,0)-1,SL,,)</f>
        <v>Erklären Sie in der Reiterzelle D67 der Erklärung, ob innerhalb des Umfangs der in dieser Umfrage angegebenen Produkte verwendetes angegebenen Mineralien vollständig aus Recycling oder Schrott stammt</v>
      </c>
    </row>
    <row r="52" spans="1:10" ht="55.5" customHeight="1">
      <c r="A52" s="80" t="str">
        <f>Declaration!B68</f>
        <v/>
      </c>
      <c r="B52" s="79">
        <f>Declaration!D68</f>
        <v>0</v>
      </c>
      <c r="C52" s="136" t="str">
        <f t="shared" ca="1" si="20"/>
        <v>Vollständig</v>
      </c>
      <c r="D52" s="318" t="str">
        <f t="shared" si="21"/>
        <v/>
      </c>
      <c r="E52" s="16"/>
      <c r="F52" s="84">
        <f t="shared" si="22"/>
        <v>0</v>
      </c>
      <c r="G52" s="62">
        <f t="shared" si="23"/>
        <v>1</v>
      </c>
      <c r="H52" s="63">
        <f t="shared" si="24"/>
        <v>0</v>
      </c>
      <c r="I52" s="131" t="str">
        <f ca="1">OFFSET(L!$C$1,MATCH("Checker"&amp;"Comp",L!$A:$A,0)-1,SL,,)</f>
        <v>Vollständig</v>
      </c>
      <c r="J52" s="132" t="str">
        <f ca="1">OFFSET(L!$C$1,MATCH("Checker"&amp;ADDRESS(ROW(),COLUMN(),4),L!$A:$A,0)-1,SL,,)</f>
        <v>Erklären Sie in der Reiterzelle D68 der Erklärung, ob innerhalb des Umfangs der in dieser Umfrage angegebenen Produkte verwendetes angegebenen Mineralien vollständig aus Recycling oder Schrott stammt</v>
      </c>
    </row>
    <row r="53" spans="1:10" ht="55.5" customHeight="1">
      <c r="A53" s="80" t="str">
        <f>Declaration!B69</f>
        <v/>
      </c>
      <c r="B53" s="79">
        <f>Declaration!D69</f>
        <v>0</v>
      </c>
      <c r="C53" s="136" t="str">
        <f t="shared" ca="1" si="20"/>
        <v>Vollständig</v>
      </c>
      <c r="D53" s="318" t="str">
        <f t="shared" si="21"/>
        <v/>
      </c>
      <c r="E53" s="16"/>
      <c r="F53" s="84">
        <f t="shared" si="22"/>
        <v>0</v>
      </c>
      <c r="G53" s="62">
        <f t="shared" si="23"/>
        <v>1</v>
      </c>
      <c r="H53" s="63">
        <f t="shared" si="24"/>
        <v>0</v>
      </c>
      <c r="I53" s="131" t="str">
        <f ca="1">OFFSET(L!$C$1,MATCH("Checker"&amp;"Comp",L!$A:$A,0)-1,SL,,)</f>
        <v>Vollständig</v>
      </c>
      <c r="J53" s="132" t="str">
        <f ca="1">OFFSET(L!$C$1,MATCH("Checker"&amp;ADDRESS(ROW(),COLUMN(),4),L!$A:$A,0)-1,SL,,)</f>
        <v>Erklären Sie in der Reiterzelle D69 der Erklärung, ob innerhalb des Umfangs der in dieser Umfrage angegebenen Produkte verwendetes angegebenen Mineralien vollständig aus Recycling oder Schrott stammt</v>
      </c>
    </row>
    <row r="54" spans="1:10" ht="55.5" customHeight="1">
      <c r="A54" s="80" t="str">
        <f>Declaration!B70</f>
        <v/>
      </c>
      <c r="B54" s="79">
        <f>Declaration!D70</f>
        <v>0</v>
      </c>
      <c r="C54" s="136" t="str">
        <f t="shared" ca="1" si="20"/>
        <v>Vollständig</v>
      </c>
      <c r="D54" s="318" t="str">
        <f t="shared" si="21"/>
        <v/>
      </c>
      <c r="E54" s="16"/>
      <c r="F54" s="84">
        <f t="shared" si="22"/>
        <v>0</v>
      </c>
      <c r="G54" s="62">
        <f t="shared" si="23"/>
        <v>1</v>
      </c>
      <c r="H54" s="63">
        <f t="shared" si="24"/>
        <v>0</v>
      </c>
      <c r="I54" s="131" t="str">
        <f ca="1">OFFSET(L!$C$1,MATCH("Checker"&amp;"Comp",L!$A:$A,0)-1,SL,,)</f>
        <v>Vollständig</v>
      </c>
      <c r="J54" s="132" t="str">
        <f ca="1">OFFSET(L!$C$1,MATCH("Checker"&amp;ADDRESS(ROW(),COLUMN(),4),L!$A:$A,0)-1,SL,,)</f>
        <v>Erklären Sie in der Reiterzelle D70 der Erklärung, ob innerhalb des Umfangs der in dieser Umfrage angegebenen Produkte verwendetes angegebenen Mineralien vollständig aus Recycling oder Schrott stammt</v>
      </c>
    </row>
    <row r="55" spans="1:10" ht="55.5" customHeight="1">
      <c r="A55" s="80" t="str">
        <f>Declaration!B71</f>
        <v/>
      </c>
      <c r="B55" s="79">
        <f>Declaration!D71</f>
        <v>0</v>
      </c>
      <c r="C55" s="136" t="str">
        <f t="shared" ca="1" si="20"/>
        <v>Vollständig</v>
      </c>
      <c r="D55" s="318" t="str">
        <f t="shared" si="21"/>
        <v/>
      </c>
      <c r="E55" s="16"/>
      <c r="F55" s="84">
        <f t="shared" si="22"/>
        <v>0</v>
      </c>
      <c r="G55" s="62">
        <f t="shared" si="23"/>
        <v>1</v>
      </c>
      <c r="H55" s="63">
        <f t="shared" si="24"/>
        <v>0</v>
      </c>
      <c r="I55" s="131" t="str">
        <f ca="1">OFFSET(L!$C$1,MATCH("Checker"&amp;"Comp",L!$A:$A,0)-1,SL,,)</f>
        <v>Vollständig</v>
      </c>
      <c r="J55" s="132" t="str">
        <f ca="1">OFFSET(L!$C$1,MATCH("Checker"&amp;ADDRESS(ROW(),COLUMN(),4),L!$A:$A,0)-1,SL,,)</f>
        <v>Erklären Sie in der Reiterzelle D71 der Erklärung, ob innerhalb des Umfangs der in dieser Umfrage angegebenen Produkte verwendetes angegebenen Mineralien vollständig aus Recycling oder Schrott stammt</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Wie hoch ist der Prozentsatz an Lieferanten, die auf Ihre Lieferkettenumfrage geantwortet haben?(*)</v>
      </c>
      <c r="B60" s="82"/>
      <c r="C60" s="82"/>
      <c r="D60" s="86"/>
      <c r="E60" s="16" t="s">
        <v>15</v>
      </c>
      <c r="F60" s="83"/>
    </row>
    <row r="61" spans="1:10" ht="37.15">
      <c r="A61" s="80" t="str">
        <f>Declaration!B78</f>
        <v>Cobalt(*)</v>
      </c>
      <c r="B61" s="79" t="str">
        <f>Declaration!D78</f>
        <v>100%</v>
      </c>
      <c r="C61" s="136" t="str">
        <f t="shared" ca="1" si="3"/>
        <v>Vollständig</v>
      </c>
      <c r="D61" s="319" t="str">
        <f>IF(H61=1,"Click here to answer question 5 for specified mineral","")</f>
        <v/>
      </c>
      <c r="E61" s="16" t="s">
        <v>18</v>
      </c>
      <c r="F61" s="84">
        <f>F50</f>
        <v>1</v>
      </c>
      <c r="G61" s="62">
        <f t="shared" si="14"/>
        <v>0</v>
      </c>
      <c r="H61" s="63">
        <f t="shared" si="15"/>
        <v>0</v>
      </c>
      <c r="I61" s="131" t="str">
        <f ca="1">OFFSET(L!$C$1,MATCH("Checker"&amp;"Comp",L!$A:$A,0)-1,SL,,)</f>
        <v>Vollständig</v>
      </c>
      <c r="J61" s="15" t="str">
        <f ca="1">OFFSET(L!$C$1,MATCH("Checker"&amp;ADDRESS(ROW(),COLUMN(),4),L!$A:$A,0)-1,SL,,)</f>
        <v>Geben Sie den Vollständigkeitsgrad der Schmelzhütteninformationen des Anbieters in Prozent in der Reiterzelle D78 der Erklärung an</v>
      </c>
    </row>
    <row r="62" spans="1:10" ht="37.15">
      <c r="A62" s="80" t="str">
        <f>Declaration!B79</f>
        <v/>
      </c>
      <c r="B62" s="79">
        <f>Declaration!D79</f>
        <v>0</v>
      </c>
      <c r="C62" s="136" t="str">
        <f t="shared" ca="1" si="3"/>
        <v>Vollständig</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Vollständig</v>
      </c>
      <c r="J62" s="15" t="str">
        <f ca="1">OFFSET(L!$C$1,MATCH("Checker"&amp;ADDRESS(ROW(),COLUMN(),4),L!$A:$A,0)-1,SL,,)</f>
        <v>Geben Sie den Vollständigkeitsgrad der Schmelzhütteninformationen des Anbieters in Prozent in der Reiterzelle D79 der Erklärung an</v>
      </c>
    </row>
    <row r="63" spans="1:10" ht="37.15">
      <c r="A63" s="80" t="str">
        <f>Declaration!B80</f>
        <v/>
      </c>
      <c r="B63" s="79">
        <f>Declaration!D80</f>
        <v>0</v>
      </c>
      <c r="C63" s="136" t="str">
        <f t="shared" ca="1" si="3"/>
        <v>Vollständig</v>
      </c>
      <c r="D63" s="319" t="str">
        <f t="shared" si="25"/>
        <v/>
      </c>
      <c r="E63" s="16"/>
      <c r="F63" s="84">
        <f t="shared" si="26"/>
        <v>0</v>
      </c>
      <c r="G63" s="62">
        <f t="shared" si="27"/>
        <v>1</v>
      </c>
      <c r="H63" s="63">
        <f t="shared" si="28"/>
        <v>0</v>
      </c>
      <c r="I63" s="131" t="str">
        <f ca="1">OFFSET(L!$C$1,MATCH("Checker"&amp;"Comp",L!$A:$A,0)-1,SL,,)</f>
        <v>Vollständig</v>
      </c>
      <c r="J63" s="15" t="str">
        <f ca="1">OFFSET(L!$C$1,MATCH("Checker"&amp;ADDRESS(ROW(),COLUMN(),4),L!$A:$A,0)-1,SL,,)</f>
        <v>Geben Sie den Vollständigkeitsgrad der Schmelzhütteninformationen des Anbieters in Prozent in der Reiterzelle D80 der Erklärung an</v>
      </c>
    </row>
    <row r="64" spans="1:10" ht="37.15">
      <c r="A64" s="80" t="str">
        <f>Declaration!B81</f>
        <v/>
      </c>
      <c r="B64" s="79">
        <f>Declaration!D81</f>
        <v>0</v>
      </c>
      <c r="C64" s="136" t="str">
        <f t="shared" ca="1" si="3"/>
        <v>Vollständig</v>
      </c>
      <c r="D64" s="319" t="str">
        <f t="shared" si="25"/>
        <v/>
      </c>
      <c r="E64" s="16"/>
      <c r="F64" s="84">
        <f t="shared" si="26"/>
        <v>0</v>
      </c>
      <c r="G64" s="62">
        <f t="shared" si="27"/>
        <v>1</v>
      </c>
      <c r="H64" s="63">
        <f t="shared" si="28"/>
        <v>0</v>
      </c>
      <c r="I64" s="131" t="str">
        <f ca="1">OFFSET(L!$C$1,MATCH("Checker"&amp;"Comp",L!$A:$A,0)-1,SL,,)</f>
        <v>Vollständig</v>
      </c>
      <c r="J64" s="15" t="str">
        <f ca="1">OFFSET(L!$C$1,MATCH("Checker"&amp;ADDRESS(ROW(),COLUMN(),4),L!$A:$A,0)-1,SL,,)</f>
        <v>Geben Sie den Vollständigkeitsgrad der Schmelzhütteninformationen des Anbieters in Prozent in der Reiterzelle D81 der Erklärung an</v>
      </c>
    </row>
    <row r="65" spans="1:10" ht="37.15">
      <c r="A65" s="80" t="str">
        <f>Declaration!B82</f>
        <v/>
      </c>
      <c r="B65" s="79">
        <f>Declaration!D82</f>
        <v>0</v>
      </c>
      <c r="C65" s="136" t="str">
        <f t="shared" ca="1" si="3"/>
        <v>Vollständig</v>
      </c>
      <c r="D65" s="319" t="str">
        <f t="shared" si="25"/>
        <v/>
      </c>
      <c r="E65" s="16"/>
      <c r="F65" s="84">
        <f t="shared" si="26"/>
        <v>0</v>
      </c>
      <c r="G65" s="62">
        <f t="shared" si="27"/>
        <v>1</v>
      </c>
      <c r="H65" s="63">
        <f t="shared" si="28"/>
        <v>0</v>
      </c>
      <c r="I65" s="131" t="str">
        <f ca="1">OFFSET(L!$C$1,MATCH("Checker"&amp;"Comp",L!$A:$A,0)-1,SL,,)</f>
        <v>Vollständig</v>
      </c>
      <c r="J65" s="15" t="str">
        <f ca="1">OFFSET(L!$C$1,MATCH("Checker"&amp;ADDRESS(ROW(),COLUMN(),4),L!$A:$A,0)-1,SL,,)</f>
        <v>Geben Sie den Vollständigkeitsgrad der Schmelzhütteninformationen des Anbieters in Prozent in der Reiterzelle D82 der Erklärung an</v>
      </c>
    </row>
    <row r="66" spans="1:10" ht="37.15">
      <c r="A66" s="80" t="str">
        <f>Declaration!B83</f>
        <v/>
      </c>
      <c r="B66" s="79">
        <f>Declaration!D83</f>
        <v>0</v>
      </c>
      <c r="C66" s="136" t="str">
        <f t="shared" ca="1" si="3"/>
        <v>Vollständig</v>
      </c>
      <c r="D66" s="319" t="str">
        <f t="shared" si="25"/>
        <v/>
      </c>
      <c r="E66" s="16"/>
      <c r="F66" s="84">
        <f t="shared" si="26"/>
        <v>0</v>
      </c>
      <c r="G66" s="62">
        <f t="shared" si="27"/>
        <v>1</v>
      </c>
      <c r="H66" s="63">
        <f t="shared" si="28"/>
        <v>0</v>
      </c>
      <c r="I66" s="131" t="str">
        <f ca="1">OFFSET(L!$C$1,MATCH("Checker"&amp;"Comp",L!$A:$A,0)-1,SL,,)</f>
        <v>Vollständig</v>
      </c>
      <c r="J66" s="15" t="str">
        <f ca="1">OFFSET(L!$C$1,MATCH("Checker"&amp;ADDRESS(ROW(),COLUMN(),4),L!$A:$A,0)-1,SL,,)</f>
        <v>Geben Sie den Vollständigkeitsgrad der Schmelzhütteninformationen des Anbieters in Prozent in der Reiterzelle D83 der Erklärung an</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Kennen Sie alle Verhüttungsbetriebe oder Verarbeitungsunternehmen, die das angegebenen Mineralien für Ihre Lieferkette bereitstellen?(*)</v>
      </c>
      <c r="B71" s="82"/>
      <c r="C71" s="82"/>
      <c r="D71" s="86"/>
      <c r="E71" s="16" t="s">
        <v>13</v>
      </c>
      <c r="F71" s="83"/>
    </row>
    <row r="72" spans="1:10" ht="50.65">
      <c r="A72" s="80" t="str">
        <f>Declaration!B90</f>
        <v>Cobalt(*)</v>
      </c>
      <c r="B72" s="79" t="str">
        <f>Declaration!D90</f>
        <v>Yes</v>
      </c>
      <c r="C72" s="136" t="str">
        <f t="shared" ca="1" si="3"/>
        <v>Vollständig</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Vollständig</v>
      </c>
      <c r="J72" s="15" t="str">
        <f ca="1">OFFSET(L!$C$1,MATCH("Checker"&amp;ADDRESS(ROW(),COLUMN(),4),L!$A:$A,0)-1,SL,,)</f>
        <v xml:space="preserve">Geben Sie in der Reiterzelle D90 der Erklärung an, ob alle Schmelzhüttennamen in der Antwort auf diese Umfrage im Umfang der angegebenen Produkte zur Verfügung gestellt worden sind </v>
      </c>
    </row>
    <row r="73" spans="1:10" ht="50.65">
      <c r="A73" s="80" t="str">
        <f>Declaration!B91</f>
        <v/>
      </c>
      <c r="B73" s="79">
        <f>Declaration!D91</f>
        <v>0</v>
      </c>
      <c r="C73" s="136" t="str">
        <f t="shared" ref="C73:C81" ca="1" si="31">IF(H73=1,J73,I73)</f>
        <v>Vollständig</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Vollständig</v>
      </c>
      <c r="J73" s="15" t="str">
        <f ca="1">OFFSET(L!$C$1,MATCH("Checker"&amp;ADDRESS(ROW(),COLUMN(),4),L!$A:$A,0)-1,SL,,)</f>
        <v xml:space="preserve">Geben Sie in der Reiterzelle D91 der Erklärung an, ob alle Schmelzhüttennamen in der Antwort auf diese Umfrage im Umfang der angegebenen Produkte zur Verfügung gestellt worden sind </v>
      </c>
    </row>
    <row r="74" spans="1:10" ht="49.5">
      <c r="A74" s="80" t="str">
        <f>Declaration!B92</f>
        <v/>
      </c>
      <c r="B74" s="79">
        <f>Declaration!D92</f>
        <v>0</v>
      </c>
      <c r="C74" s="136" t="str">
        <f t="shared" ca="1" si="31"/>
        <v>Vollständig</v>
      </c>
      <c r="D74" s="319" t="str">
        <f t="shared" si="32"/>
        <v/>
      </c>
      <c r="E74" s="16"/>
      <c r="F74" s="84">
        <f t="shared" si="33"/>
        <v>0</v>
      </c>
      <c r="G74" s="62">
        <f t="shared" si="34"/>
        <v>1</v>
      </c>
      <c r="H74" s="63">
        <f t="shared" si="35"/>
        <v>0</v>
      </c>
      <c r="I74" s="131" t="str">
        <f ca="1">OFFSET(L!$C$1,MATCH("Checker"&amp;"Comp",L!$A:$A,0)-1,SL,,)</f>
        <v>Vollständig</v>
      </c>
      <c r="J74" s="15" t="str">
        <f ca="1">OFFSET(L!$C$1,MATCH("Checker"&amp;ADDRESS(ROW(),COLUMN(),4),L!$A:$A,0)-1,SL,,)</f>
        <v xml:space="preserve">Geben Sie in der Reiterzelle D92 der Erklärung an, ob alle Schmelzhüttennamen in der Antwort auf diese Umfrage im Umfang der angegebenen Produkte zur Verfügung gestellt worden sind </v>
      </c>
    </row>
    <row r="75" spans="1:10" ht="49.5">
      <c r="A75" s="80" t="str">
        <f>Declaration!B93</f>
        <v/>
      </c>
      <c r="B75" s="79">
        <f>Declaration!D93</f>
        <v>0</v>
      </c>
      <c r="C75" s="136" t="str">
        <f t="shared" ca="1" si="31"/>
        <v>Vollständig</v>
      </c>
      <c r="D75" s="319" t="str">
        <f t="shared" si="32"/>
        <v/>
      </c>
      <c r="E75" s="16"/>
      <c r="F75" s="84">
        <f t="shared" si="33"/>
        <v>0</v>
      </c>
      <c r="G75" s="62">
        <f t="shared" si="34"/>
        <v>1</v>
      </c>
      <c r="H75" s="63">
        <f t="shared" si="35"/>
        <v>0</v>
      </c>
      <c r="I75" s="131" t="str">
        <f ca="1">OFFSET(L!$C$1,MATCH("Checker"&amp;"Comp",L!$A:$A,0)-1,SL,,)</f>
        <v>Vollständig</v>
      </c>
      <c r="J75" s="15" t="str">
        <f ca="1">OFFSET(L!$C$1,MATCH("Checker"&amp;ADDRESS(ROW(),COLUMN(),4),L!$A:$A,0)-1,SL,,)</f>
        <v xml:space="preserve">Geben Sie in der Reiterzelle D93 der Erklärung an, ob alle Schmelzhüttennamen in der Antwort auf diese Umfrage im Umfang der angegebenen Produkte zur Verfügung gestellt worden sind </v>
      </c>
    </row>
    <row r="76" spans="1:10" ht="49.5">
      <c r="A76" s="80" t="str">
        <f>Declaration!B94</f>
        <v/>
      </c>
      <c r="B76" s="79">
        <f>Declaration!D94</f>
        <v>0</v>
      </c>
      <c r="C76" s="136" t="str">
        <f t="shared" ca="1" si="31"/>
        <v>Vollständig</v>
      </c>
      <c r="D76" s="319" t="str">
        <f t="shared" si="32"/>
        <v/>
      </c>
      <c r="E76" s="16"/>
      <c r="F76" s="84">
        <f t="shared" si="33"/>
        <v>0</v>
      </c>
      <c r="G76" s="62">
        <f t="shared" si="34"/>
        <v>1</v>
      </c>
      <c r="H76" s="63">
        <f t="shared" si="35"/>
        <v>0</v>
      </c>
      <c r="I76" s="131" t="str">
        <f ca="1">OFFSET(L!$C$1,MATCH("Checker"&amp;"Comp",L!$A:$A,0)-1,SL,,)</f>
        <v>Vollständig</v>
      </c>
      <c r="J76" s="15" t="str">
        <f ca="1">OFFSET(L!$C$1,MATCH("Checker"&amp;ADDRESS(ROW(),COLUMN(),4),L!$A:$A,0)-1,SL,,)</f>
        <v xml:space="preserve">Geben Sie in der Reiterzelle D94 der Erklärung an, ob alle Schmelzhüttennamen in der Antwort auf diese Umfrage im Umfang der angegebenen Produkte zur Verfügung gestellt worden sind </v>
      </c>
    </row>
    <row r="77" spans="1:10" ht="49.5">
      <c r="A77" s="80" t="str">
        <f>Declaration!B95</f>
        <v/>
      </c>
      <c r="B77" s="79">
        <f>Declaration!D95</f>
        <v>0</v>
      </c>
      <c r="C77" s="136" t="str">
        <f t="shared" ca="1" si="31"/>
        <v>Vollständig</v>
      </c>
      <c r="D77" s="319" t="str">
        <f t="shared" si="32"/>
        <v/>
      </c>
      <c r="E77" s="16"/>
      <c r="F77" s="84">
        <f t="shared" si="33"/>
        <v>0</v>
      </c>
      <c r="G77" s="62">
        <f t="shared" si="34"/>
        <v>1</v>
      </c>
      <c r="H77" s="63">
        <f t="shared" si="35"/>
        <v>0</v>
      </c>
      <c r="I77" s="131" t="str">
        <f ca="1">OFFSET(L!$C$1,MATCH("Checker"&amp;"Comp",L!$A:$A,0)-1,SL,,)</f>
        <v>Vollständig</v>
      </c>
      <c r="J77" s="15" t="str">
        <f ca="1">OFFSET(L!$C$1,MATCH("Checker"&amp;ADDRESS(ROW(),COLUMN(),4),L!$A:$A,0)-1,SL,,)</f>
        <v xml:space="preserve">Geben Sie in der Reiterzelle D95 der Erklärung an, ob alle Schmelzhüttennamen in der Antwort auf diese Umfrage im Umfang der angegebenen Produkte zur Verfügung gestellt worden sind </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Sind alle anwendbaren Informationen über Verhüttungsbetriebe oder Verarbeitungsunternehmen, die Ihr Unternehmen erhalten hat, in dieser Erklärung genannt worden?(*)</v>
      </c>
      <c r="B82" s="82"/>
      <c r="C82" s="82"/>
      <c r="D82" s="86"/>
      <c r="E82" s="16" t="s">
        <v>16</v>
      </c>
      <c r="F82" s="83"/>
    </row>
    <row r="83" spans="1:10" ht="41.55" customHeight="1">
      <c r="A83" s="80" t="str">
        <f>Declaration!B102</f>
        <v>Cobalt(*)</v>
      </c>
      <c r="B83" s="79" t="str">
        <f>Declaration!D102</f>
        <v>Yes</v>
      </c>
      <c r="C83" s="136" t="str">
        <f t="shared" ref="C83:C92" ca="1" si="36">IF(H83=1,J83,I83)</f>
        <v>Vollständig</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Vollständig</v>
      </c>
      <c r="J83" s="15" t="str">
        <f ca="1">OFFSET(L!$C$1,MATCH("Checker"&amp;ADDRESS(ROW(),COLUMN(),4),L!$A:$A,0)-1,SL,,)</f>
        <v>Geben Sie in der Reiterzelle D102 der Erklärung an, ob alle Informationen über Schmelzhütten für angegebenen  Mineralien zur Verfügung gestellt worden sind</v>
      </c>
    </row>
    <row r="84" spans="1:10" ht="41.55" customHeight="1">
      <c r="A84" s="80" t="str">
        <f>Declaration!B103</f>
        <v/>
      </c>
      <c r="B84" s="79">
        <f>Declaration!D103</f>
        <v>0</v>
      </c>
      <c r="C84" s="136" t="str">
        <f t="shared" ca="1" si="36"/>
        <v>Vollständig</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Vollständig</v>
      </c>
      <c r="J84" s="15" t="str">
        <f ca="1">OFFSET(L!$C$1,MATCH("Checker"&amp;ADDRESS(ROW(),COLUMN(),4),L!$A:$A,0)-1,SL,,)</f>
        <v>Geben Sie in der Reiterzelle D103 der Erklärung an, ob alle Informationen über Schmelzhütten für angegebenen  Mineralien zur Verfügung gestellt worden sind</v>
      </c>
    </row>
    <row r="85" spans="1:10" ht="41.55" customHeight="1">
      <c r="A85" s="80" t="str">
        <f>Declaration!B104</f>
        <v/>
      </c>
      <c r="B85" s="79">
        <f>Declaration!D104</f>
        <v>0</v>
      </c>
      <c r="C85" s="136" t="str">
        <f t="shared" ca="1" si="36"/>
        <v>Vollständig</v>
      </c>
      <c r="D85" s="319" t="str">
        <f t="shared" si="39"/>
        <v/>
      </c>
      <c r="E85" s="16"/>
      <c r="F85" s="84">
        <f t="shared" si="40"/>
        <v>0</v>
      </c>
      <c r="G85" s="62">
        <f t="shared" si="41"/>
        <v>1</v>
      </c>
      <c r="H85" s="63">
        <f t="shared" si="42"/>
        <v>0</v>
      </c>
      <c r="I85" s="131" t="str">
        <f ca="1">OFFSET(L!$C$1,MATCH("Checker"&amp;"Comp",L!$A:$A,0)-1,SL,,)</f>
        <v>Vollständig</v>
      </c>
      <c r="J85" s="15" t="str">
        <f ca="1">OFFSET(L!$C$1,MATCH("Checker"&amp;ADDRESS(ROW(),COLUMN(),4),L!$A:$A,0)-1,SL,,)</f>
        <v>Geben Sie in der Reiterzelle D104 der Erklärung an, ob alle Informationen über Schmelzhütten für angegebenen  Mineralien zur Verfügung gestellt worden sind</v>
      </c>
    </row>
    <row r="86" spans="1:10" ht="41.55" customHeight="1">
      <c r="A86" s="80" t="str">
        <f>Declaration!B105</f>
        <v/>
      </c>
      <c r="B86" s="79">
        <f>Declaration!D105</f>
        <v>0</v>
      </c>
      <c r="C86" s="136" t="str">
        <f t="shared" ca="1" si="36"/>
        <v>Vollständig</v>
      </c>
      <c r="D86" s="319" t="str">
        <f t="shared" si="39"/>
        <v/>
      </c>
      <c r="E86" s="16"/>
      <c r="F86" s="84">
        <f t="shared" si="40"/>
        <v>0</v>
      </c>
      <c r="G86" s="62">
        <f t="shared" si="41"/>
        <v>1</v>
      </c>
      <c r="H86" s="63">
        <f t="shared" si="42"/>
        <v>0</v>
      </c>
      <c r="I86" s="131" t="str">
        <f ca="1">OFFSET(L!$C$1,MATCH("Checker"&amp;"Comp",L!$A:$A,0)-1,SL,,)</f>
        <v>Vollständig</v>
      </c>
      <c r="J86" s="15" t="str">
        <f ca="1">OFFSET(L!$C$1,MATCH("Checker"&amp;ADDRESS(ROW(),COLUMN(),4),L!$A:$A,0)-1,SL,,)</f>
        <v>Geben Sie in der Reiterzelle D105 der Erklärung an, ob alle Informationen über Schmelzhütten für angegebenen  Mineralien zur Verfügung gestellt worden sind</v>
      </c>
    </row>
    <row r="87" spans="1:10" ht="41.55" customHeight="1">
      <c r="A87" s="80" t="str">
        <f>Declaration!B106</f>
        <v/>
      </c>
      <c r="B87" s="79">
        <f>Declaration!D106</f>
        <v>0</v>
      </c>
      <c r="C87" s="136" t="str">
        <f t="shared" ca="1" si="36"/>
        <v>Vollständig</v>
      </c>
      <c r="D87" s="319" t="str">
        <f t="shared" si="39"/>
        <v/>
      </c>
      <c r="E87" s="16"/>
      <c r="F87" s="84">
        <f t="shared" si="40"/>
        <v>0</v>
      </c>
      <c r="G87" s="62">
        <f t="shared" si="41"/>
        <v>1</v>
      </c>
      <c r="H87" s="63">
        <f t="shared" si="42"/>
        <v>0</v>
      </c>
      <c r="I87" s="131" t="str">
        <f ca="1">OFFSET(L!$C$1,MATCH("Checker"&amp;"Comp",L!$A:$A,0)-1,SL,,)</f>
        <v>Vollständig</v>
      </c>
      <c r="J87" s="15" t="str">
        <f ca="1">OFFSET(L!$C$1,MATCH("Checker"&amp;ADDRESS(ROW(),COLUMN(),4),L!$A:$A,0)-1,SL,,)</f>
        <v>Geben Sie in der Reiterzelle D106 der Erklärung an, ob alle Informationen über Schmelzhütten für angegebenen  Mineralien zur Verfügung gestellt worden sind</v>
      </c>
    </row>
    <row r="88" spans="1:10" ht="41.55" customHeight="1">
      <c r="A88" s="80" t="str">
        <f>Declaration!B107</f>
        <v/>
      </c>
      <c r="B88" s="79">
        <f>Declaration!D107</f>
        <v>0</v>
      </c>
      <c r="C88" s="136" t="str">
        <f t="shared" ca="1" si="36"/>
        <v>Vollständig</v>
      </c>
      <c r="D88" s="319" t="str">
        <f t="shared" si="39"/>
        <v/>
      </c>
      <c r="E88" s="16"/>
      <c r="F88" s="84">
        <f t="shared" si="40"/>
        <v>0</v>
      </c>
      <c r="G88" s="62">
        <f t="shared" si="41"/>
        <v>1</v>
      </c>
      <c r="H88" s="63">
        <f t="shared" si="42"/>
        <v>0</v>
      </c>
      <c r="I88" s="131" t="str">
        <f ca="1">OFFSET(L!$C$1,MATCH("Checker"&amp;"Comp",L!$A:$A,0)-1,SL,,)</f>
        <v>Vollständig</v>
      </c>
      <c r="J88" s="15" t="str">
        <f ca="1">OFFSET(L!$C$1,MATCH("Checker"&amp;ADDRESS(ROW(),COLUMN(),4),L!$A:$A,0)-1,SL,,)</f>
        <v>Geben Sie in der Reiterzelle D107 der Erklärung an, ob alle Informationen über Schmelzhütten für angegebenen  Mineralien zur Verfügung gestellt worden sind</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7" t="str">
        <f ca="1">Declaration!B114</f>
        <v>Frage</v>
      </c>
      <c r="B93" s="82"/>
      <c r="C93" s="82"/>
      <c r="D93" s="86"/>
      <c r="E93" s="16" t="s">
        <v>18</v>
      </c>
      <c r="F93" s="83"/>
      <c r="G93" s="83"/>
      <c r="H93" s="83"/>
    </row>
    <row r="94" spans="1:10" ht="49.5">
      <c r="A94" s="79" t="str">
        <f ca="1">Declaration!B115</f>
        <v>A. Haben Sie eine Richtlinie zur verantwortungsvollen Beschaffung von Mineralien aufgestellt?(*)</v>
      </c>
      <c r="B94" s="79" t="str">
        <f>Declaration!D115</f>
        <v>Yes</v>
      </c>
      <c r="C94" s="136" t="str">
        <f ca="1">IF(H94=1,J94,I94)</f>
        <v>Vollständig</v>
      </c>
      <c r="D94" s="320" t="str">
        <f>IF(H94=1,"Click here to answer question (A)","")</f>
        <v/>
      </c>
      <c r="E94" s="16" t="s">
        <v>15</v>
      </c>
      <c r="F94" s="84">
        <f>IF(SUM(F$39:F$48)=0,0,1)</f>
        <v>1</v>
      </c>
      <c r="G94" s="62">
        <f t="shared" si="14"/>
        <v>0</v>
      </c>
      <c r="H94" s="63">
        <f t="shared" si="15"/>
        <v>0</v>
      </c>
      <c r="I94" s="131" t="str">
        <f ca="1">OFFSET(L!$C$1,MATCH("Checker"&amp;"Comp",L!$A:$A,0)-1,SL,,)</f>
        <v>Vollständig</v>
      </c>
      <c r="J94" s="15" t="str">
        <f ca="1">OFFSET(L!$C$1,MATCH("Checker"&amp;ADDRESS(ROW(),COLUMN(),4),L!$A:$A,0)-1,SL,,)</f>
        <v>Geben Sie in Zelle D115 der Erklärung an, ob Ihr Unternehmen Ihre Richtlinie zur konfliktfreien Mineralienbeschaffung auf seiner Website öffentlich verfügbar gemacht hat</v>
      </c>
    </row>
    <row r="95" spans="1:10" ht="49.5">
      <c r="A95" s="79" t="str">
        <f ca="1">Declaration!B117</f>
        <v>B. Ist Ihre Richtlinie zur verantwortungsvollen Beschaffung von Mineralien auf Ihrer Website einsehbar? (Hinweis – Bei „Ja“ hat der Benutzer die URL im Anmerkungsfeld anzugeben.)(*)</v>
      </c>
      <c r="B95" s="79" t="str">
        <f>Declaration!D117</f>
        <v>Yes</v>
      </c>
      <c r="C95" s="136" t="str">
        <f ca="1">IF(H95=1,J95,I95)</f>
        <v>Vollständig</v>
      </c>
      <c r="D95" s="321" t="str">
        <f>IF(H95=1,"Click here to answer question (B)","")</f>
        <v/>
      </c>
      <c r="E95" s="16" t="s">
        <v>15</v>
      </c>
      <c r="F95" s="84">
        <f t="shared" ref="F95:F111" si="43">F$94</f>
        <v>1</v>
      </c>
      <c r="G95" s="62">
        <f t="shared" si="14"/>
        <v>0</v>
      </c>
      <c r="H95" s="63">
        <f t="shared" si="15"/>
        <v>0</v>
      </c>
      <c r="I95" s="131" t="str">
        <f ca="1">OFFSET(L!$C$1,MATCH("Checker"&amp;"Comp",L!$A:$A,0)-1,SL,,)</f>
        <v>Vollständig</v>
      </c>
      <c r="J95" s="15" t="str">
        <f ca="1">OFFSET(L!$C$1,MATCH("Checker"&amp;ADDRESS(ROW(),COLUMN(),4),L!$A:$A,0)-1,SL,,)</f>
        <v>Geben Sie in Zelle D117 der Erklärung an, ob Ihr Unternehmen Ihre Richtlinie zur konfliktfreien Mineralieneschaffung auf seiner Website öffentlich verfügbar gemacht hat</v>
      </c>
    </row>
    <row r="96" spans="1:10" ht="25.05" customHeight="1">
      <c r="A96" s="79" t="s">
        <v>53</v>
      </c>
      <c r="B96" s="79" t="str">
        <f>Declaration!G117</f>
        <v>https://rero-ag.ch/downloads</v>
      </c>
      <c r="C96" s="79" t="str">
        <f ca="1">IF(H96=1,J96,I96)</f>
        <v>Vollständig</v>
      </c>
      <c r="D96" s="322" t="str">
        <f>IF(H96=1,"Click here to answer question (C)","")</f>
        <v/>
      </c>
      <c r="E96" s="16" t="s">
        <v>15</v>
      </c>
      <c r="F96" s="84">
        <f>IF(AND(F95=1,B95="Yes"),1,0)</f>
        <v>1</v>
      </c>
      <c r="G96" s="62">
        <f>IF(LEN(B96)&gt;1,0,1)</f>
        <v>0</v>
      </c>
      <c r="H96" s="63">
        <f>F96*G96</f>
        <v>0</v>
      </c>
      <c r="I96" s="131" t="str">
        <f ca="1">OFFSET(L!$C$1,MATCH("Checker"&amp;"Comp",L!$A:$A,0)-1,SL,,)</f>
        <v>Vollständig</v>
      </c>
      <c r="J96" s="15" t="str">
        <f ca="1">OFFSET(L!$C$1,MATCH("Checker"&amp;ADDRESS(ROW(),COLUMN(),4),L!$A:$A,0)-1,SL,,)</f>
        <v xml:space="preserve">Geben Sie in der Arbeitsblattzelle G71 der Erklärung den URL an, falls Sie Frage B mit „Ja“ beantworten. Das Format des URL sollte „www.companyname.com“ entsprechen </v>
      </c>
    </row>
    <row r="97" spans="1:10" ht="25.05" customHeight="1">
      <c r="A97" s="79" t="str">
        <f ca="1">Declaration!B119</f>
        <v>C. Verlangen Sie von Ihren direkten Lieferanten, das angegebenen Mineralien von Verhüttungsbetrieben, deren Sorgfaltspflichtpraktiken von einem unabhängigen Prüfungsprogramm einer dritten Partei überprüft worden sind?(*)</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Vollständig</v>
      </c>
      <c r="D98" s="321" t="str">
        <f>IF(H98=1,"Click here to answer question (C)","")</f>
        <v/>
      </c>
      <c r="E98" s="16"/>
      <c r="F98" s="84">
        <f>F39</f>
        <v>1</v>
      </c>
      <c r="G98" s="62">
        <f t="shared" si="14"/>
        <v>0</v>
      </c>
      <c r="H98" s="63">
        <f t="shared" si="15"/>
        <v>0</v>
      </c>
      <c r="I98" s="131" t="str">
        <f ca="1">OFFSET(L!$C$1,MATCH("Checker"&amp;"Comp",L!$A:$A,0)-1,SL,,)</f>
        <v>Vollständig</v>
      </c>
      <c r="J98" s="15" t="str">
        <f ca="1">OFFSET(L!$C$1,MATCH("Checker"&amp;ADDRESS(ROW(),COLUMN(),4),L!$A:$A,0)-1,SL,,)</f>
        <v>Geben Sie in Zelle D120 der Erklärung an, ob Sie von Ihren direkten Lieferanten verlangen angegebenen Mineralien, bei Schmelzhütten einzukaufen, deren Due-Diligence-Praktiken von unabhängigen Prüfungsprogramm Dritter überprüft worden sind</v>
      </c>
    </row>
    <row r="99" spans="1:10" ht="81" customHeight="1">
      <c r="A99" s="79" t="str">
        <f>Declaration!B121</f>
        <v/>
      </c>
      <c r="B99" s="79">
        <f>Declaration!D121</f>
        <v>0</v>
      </c>
      <c r="C99" s="136" t="str">
        <f t="shared" ca="1" si="44"/>
        <v>Vollständig</v>
      </c>
      <c r="D99" s="321" t="str">
        <f>IF(H99=1,"Click here to answer question (C)","")</f>
        <v/>
      </c>
      <c r="E99" s="16"/>
      <c r="F99" s="84">
        <f t="shared" ref="F99:F103" si="45">F40</f>
        <v>0</v>
      </c>
      <c r="G99" s="62">
        <f t="shared" si="14"/>
        <v>1</v>
      </c>
      <c r="H99" s="63">
        <f t="shared" si="15"/>
        <v>0</v>
      </c>
      <c r="I99" s="131" t="str">
        <f ca="1">OFFSET(L!$C$1,MATCH("Checker"&amp;"Comp",L!$A:$A,0)-1,SL,,)</f>
        <v>Vollständig</v>
      </c>
      <c r="J99" s="15" t="str">
        <f ca="1">OFFSET(L!$C$1,MATCH("Checker"&amp;ADDRESS(ROW(),COLUMN(),4),L!$A:$A,0)-1,SL,,)</f>
        <v>Geben Sie in Zelle D121 der Erklärung an, ob Sie von Ihren direkten Lieferanten verlangen angegebenen Mineralien, bei Schmelzhütten einzukaufen, deren Due-Diligence-Praktiken von unabhängigen Prüfungsprogramm Dritter überprüft worden sind</v>
      </c>
    </row>
    <row r="100" spans="1:10" ht="81" customHeight="1">
      <c r="A100" s="79" t="str">
        <f>Declaration!B122</f>
        <v/>
      </c>
      <c r="B100" s="79">
        <f>Declaration!D122</f>
        <v>0</v>
      </c>
      <c r="C100" s="136" t="str">
        <f t="shared" ca="1" si="44"/>
        <v>Vollständig</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Vollständig</v>
      </c>
      <c r="J100" s="15" t="str">
        <f ca="1">OFFSET(L!$C$1,MATCH("Checker"&amp;ADDRESS(ROW(),COLUMN(),4),L!$A:$A,0)-1,SL,,)</f>
        <v>Geben Sie in Zelle D122 der Erklärung an, ob Sie von Ihren direkten Lieferanten verlangen angegebenen Mineralien, bei Schmelzhütten einzukaufen, deren Due-Diligence-Praktiken von unabhängigen Prüfungsprogramm Dritter überprüft worden sind</v>
      </c>
    </row>
    <row r="101" spans="1:10" ht="81" customHeight="1">
      <c r="A101" s="79" t="str">
        <f>Declaration!B123</f>
        <v/>
      </c>
      <c r="B101" s="79">
        <f>Declaration!D123</f>
        <v>0</v>
      </c>
      <c r="C101" s="136" t="str">
        <f t="shared" ca="1" si="44"/>
        <v>Vollständig</v>
      </c>
      <c r="D101" s="321" t="str">
        <f t="shared" si="46"/>
        <v/>
      </c>
      <c r="E101" s="16"/>
      <c r="F101" s="84">
        <f t="shared" si="45"/>
        <v>0</v>
      </c>
      <c r="G101" s="62">
        <f t="shared" si="47"/>
        <v>1</v>
      </c>
      <c r="H101" s="63">
        <f t="shared" si="48"/>
        <v>0</v>
      </c>
      <c r="I101" s="131" t="str">
        <f ca="1">OFFSET(L!$C$1,MATCH("Checker"&amp;"Comp",L!$A:$A,0)-1,SL,,)</f>
        <v>Vollständig</v>
      </c>
      <c r="J101" s="15" t="str">
        <f ca="1">OFFSET(L!$C$1,MATCH("Checker"&amp;ADDRESS(ROW(),COLUMN(),4),L!$A:$A,0)-1,SL,,)</f>
        <v>Geben Sie in Zelle D123 der Erklärung an, ob Sie von Ihren direkten Lieferanten verlangen angegebenen Mineralien, bei Schmelzhütten einzukaufen, deren Due-Diligence-Praktiken von unabhängigen Prüfungsprogramm Dritter überprüft worden sind</v>
      </c>
    </row>
    <row r="102" spans="1:10" ht="81" customHeight="1">
      <c r="A102" s="79" t="str">
        <f>Declaration!B124</f>
        <v/>
      </c>
      <c r="B102" s="79">
        <f>Declaration!D124</f>
        <v>0</v>
      </c>
      <c r="C102" s="136" t="str">
        <f t="shared" ca="1" si="44"/>
        <v>Vollständig</v>
      </c>
      <c r="D102" s="321" t="str">
        <f t="shared" si="46"/>
        <v/>
      </c>
      <c r="E102" s="16"/>
      <c r="F102" s="84">
        <f t="shared" si="45"/>
        <v>0</v>
      </c>
      <c r="G102" s="62">
        <f t="shared" si="47"/>
        <v>1</v>
      </c>
      <c r="H102" s="63">
        <f t="shared" si="48"/>
        <v>0</v>
      </c>
      <c r="I102" s="131" t="str">
        <f ca="1">OFFSET(L!$C$1,MATCH("Checker"&amp;"Comp",L!$A:$A,0)-1,SL,,)</f>
        <v>Vollständig</v>
      </c>
      <c r="J102" s="15" t="str">
        <f ca="1">OFFSET(L!$C$1,MATCH("Checker"&amp;ADDRESS(ROW(),COLUMN(),4),L!$A:$A,0)-1,SL,,)</f>
        <v>Geben Sie in Zelle D124 der Erklärung an, ob Sie von Ihren direkten Lieferanten verlangen angegebenen Mineralien, bei Schmelzhütten einzukaufen, deren Due-Diligence-Praktiken von unabhängigen Prüfungsprogramm Dritter überprüft worden sind</v>
      </c>
    </row>
    <row r="103" spans="1:10" ht="81" customHeight="1">
      <c r="A103" s="79" t="str">
        <f>Declaration!B125</f>
        <v/>
      </c>
      <c r="B103" s="79">
        <f>Declaration!D125</f>
        <v>0</v>
      </c>
      <c r="C103" s="136" t="str">
        <f t="shared" ca="1" si="44"/>
        <v>Vollständig</v>
      </c>
      <c r="D103" s="321" t="str">
        <f t="shared" si="46"/>
        <v/>
      </c>
      <c r="E103" s="16"/>
      <c r="F103" s="84">
        <f t="shared" si="45"/>
        <v>0</v>
      </c>
      <c r="G103" s="62">
        <f t="shared" si="47"/>
        <v>1</v>
      </c>
      <c r="H103" s="63">
        <f t="shared" si="48"/>
        <v>0</v>
      </c>
      <c r="I103" s="131" t="str">
        <f ca="1">OFFSET(L!$C$1,MATCH("Checker"&amp;"Comp",L!$A:$A,0)-1,SL,,)</f>
        <v>Vollständig</v>
      </c>
      <c r="J103" s="15" t="str">
        <f ca="1">OFFSET(L!$C$1,MATCH("Checker"&amp;ADDRESS(ROW(),COLUMN(),4),L!$A:$A,0)-1,SL,,)</f>
        <v>Geben Sie in Zelle D125 der Erklärung an, ob Sie von Ihren direkten Lieferanten verlangen angegebenen Mineralien, bei Schmelzhütten einzukaufen, deren Due-Diligence-Praktiken von unabhängigen Prüfungsprogramm Dritter überprüft worden sind</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8.25">
      <c r="A108" s="79" t="str">
        <f ca="1">Declaration!B131</f>
        <v>D. Haben Sie Sorgfaltspflichtmaßnahmen für verantwortungsvolle Beschaffung in Kraft gesetzt?(*)</v>
      </c>
      <c r="B108" s="79" t="str">
        <f>Declaration!D131</f>
        <v>Yes</v>
      </c>
      <c r="C108" s="136" t="str">
        <f t="shared" ca="1" si="44"/>
        <v>Vollständig</v>
      </c>
      <c r="D108" s="321" t="str">
        <f>IF(H108=1,"Click here to answer question (D)","")</f>
        <v/>
      </c>
      <c r="E108" s="16" t="s">
        <v>15</v>
      </c>
      <c r="F108" s="84">
        <f t="shared" si="43"/>
        <v>1</v>
      </c>
      <c r="G108" s="62">
        <f t="shared" si="14"/>
        <v>0</v>
      </c>
      <c r="H108" s="63">
        <f t="shared" si="15"/>
        <v>0</v>
      </c>
      <c r="I108" s="131" t="str">
        <f ca="1">OFFSET(L!$C$1,MATCH("Checker"&amp;"Comp",L!$A:$A,0)-1,SL,,)</f>
        <v>Vollständig</v>
      </c>
      <c r="J108" s="15" t="str">
        <f ca="1">OFFSET(L!$C$1,MATCH("Checker"&amp;ADDRESS(ROW(),COLUMN(),4),L!$A:$A,0)-1,SL,,)</f>
        <v>Geben Sie in der Reiterzelle D131 der Erklärung an, ob Sie von Ihren Lieferanten Namen von Schmelzhütten verlangen</v>
      </c>
    </row>
    <row r="109" spans="1:10" ht="38.25">
      <c r="A109" s="79" t="str">
        <f ca="1">Declaration!B133</f>
        <v>E. Führt Ihr Unternehmen Lieferkettenumfragen bei Ihren relevanten Lieferanten zu angegebenen Mineralien durch?(*)</v>
      </c>
      <c r="B109" s="79" t="str">
        <f>Declaration!D133</f>
        <v>Yes, in conformance with IPC1755 (e.g. EMRT)</v>
      </c>
      <c r="C109" s="136" t="str">
        <f t="shared" ca="1" si="44"/>
        <v>Vollständig</v>
      </c>
      <c r="D109" s="321" t="str">
        <f>IF(H109=1,"Click here to answer question (E)","")</f>
        <v/>
      </c>
      <c r="E109" s="16" t="s">
        <v>15</v>
      </c>
      <c r="F109" s="84">
        <f t="shared" si="43"/>
        <v>1</v>
      </c>
      <c r="G109" s="62">
        <f>IF(B109=0,1,0)</f>
        <v>0</v>
      </c>
      <c r="H109" s="63">
        <f t="shared" si="15"/>
        <v>0</v>
      </c>
      <c r="I109" s="131" t="str">
        <f ca="1">OFFSET(L!$C$1,MATCH("Checker"&amp;"Comp",L!$A:$A,0)-1,SL,,)</f>
        <v>Vollständig</v>
      </c>
      <c r="J109" s="15" t="str">
        <f ca="1">OFFSET(L!$C$1,MATCH("Checker"&amp;ADDRESS(ROW(),COLUMN(),4),L!$A:$A,0)-1,SL,,)</f>
        <v>Geben Sie in der Reiterzelle D133 der Erklärung an, ob Sie Umfragen zur Lieferkette zu Kobalt oder natürlicher Glimmer durchführen</v>
      </c>
    </row>
    <row r="110" spans="1:10" ht="38.25">
      <c r="A110" s="79" t="str">
        <f ca="1">Declaration!B135</f>
        <v>F. Prüfen Sie die Sorgfaltspflichtangaben, die Sie von Ihren Lieferanten erhalten, gegen die Erwartungen Ihres Unternehmens?(*)</v>
      </c>
      <c r="B110" s="79" t="str">
        <f>Declaration!D135</f>
        <v>Yes</v>
      </c>
      <c r="C110" s="136" t="str">
        <f t="shared" ca="1" si="44"/>
        <v>Vollständig</v>
      </c>
      <c r="D110" s="321" t="str">
        <f>IF(H110=1,"Click here to answer question (F)","")</f>
        <v/>
      </c>
      <c r="E110" s="16" t="s">
        <v>15</v>
      </c>
      <c r="F110" s="84">
        <f t="shared" si="43"/>
        <v>1</v>
      </c>
      <c r="G110" s="62">
        <f>IF(B110=0,1,0)</f>
        <v>0</v>
      </c>
      <c r="H110" s="63">
        <f t="shared" si="15"/>
        <v>0</v>
      </c>
      <c r="I110" s="131" t="str">
        <f ca="1">OFFSET(L!$C$1,MATCH("Checker"&amp;"Comp",L!$A:$A,0)-1,SL,,)</f>
        <v>Vollständig</v>
      </c>
      <c r="J110" s="15" t="str">
        <f ca="1">OFFSET(L!$C$1,MATCH("Checker"&amp;ADDRESS(ROW(),COLUMN(),4),L!$A:$A,0)-1,SL,,)</f>
        <v>Geben Sie in der Reiterzelle D135 der Erklärung an, ob Sie Antworten der Lieferanten auf die Anforderungen Ihres Unternehmens überprüfen</v>
      </c>
    </row>
    <row r="111" spans="1:10" ht="38.25">
      <c r="A111" s="79" t="str">
        <f ca="1">Declaration!B137</f>
        <v>G. Umfasst Ihr Prüfverfahren die Überwachung von Abhilfemaßnahmen?(*)</v>
      </c>
      <c r="B111" s="79" t="str">
        <f>Declaration!D137</f>
        <v>Yes</v>
      </c>
      <c r="C111" s="136" t="str">
        <f t="shared" ca="1" si="44"/>
        <v>Vollständig</v>
      </c>
      <c r="D111" s="321" t="str">
        <f>IF(H111=1,"Click here to answer question (G)","")</f>
        <v/>
      </c>
      <c r="E111" s="16" t="s">
        <v>15</v>
      </c>
      <c r="F111" s="84">
        <f t="shared" si="43"/>
        <v>1</v>
      </c>
      <c r="G111" s="62">
        <f t="shared" si="14"/>
        <v>0</v>
      </c>
      <c r="H111" s="63">
        <f t="shared" si="15"/>
        <v>0</v>
      </c>
      <c r="I111" s="131" t="str">
        <f ca="1">OFFSET(L!$C$1,MATCH("Checker"&amp;"Comp",L!$A:$A,0)-1,SL,,)</f>
        <v>Vollständig</v>
      </c>
      <c r="J111" s="15" t="str">
        <f ca="1">OFFSET(L!$C$1,MATCH("Checker"&amp;ADDRESS(ROW(),COLUMN(),4),L!$A:$A,0)-1,SL,,)</f>
        <v>Geben Sie in der Reiterzelle D137 der Erklärung an, ob Ihr Prüfungsverfahren ein Abhilfemaßnahmen-Management umfasst</v>
      </c>
    </row>
    <row r="112" spans="1:10" ht="38.25">
      <c r="A112" s="80" t="s">
        <v>54</v>
      </c>
      <c r="B112" s="79" t="str">
        <f>IF(G112=1,"No products or item numbers listed","One or more product / item numbers have been provided")</f>
        <v>No products or item numbers listed</v>
      </c>
      <c r="C112" s="79" t="str">
        <f t="shared" ca="1" si="44"/>
        <v>Vollständig</v>
      </c>
      <c r="D112" s="380" t="str">
        <f>IF(H112=1,"Click here to enter detail on Product List tab","")</f>
        <v/>
      </c>
      <c r="E112" s="16" t="s">
        <v>15</v>
      </c>
      <c r="F112" s="84">
        <f>IF(B5=Declaration!Q9,1,0)</f>
        <v>0</v>
      </c>
      <c r="G112" s="62">
        <f>IF('Product List'!B6="",1,0)</f>
        <v>1</v>
      </c>
      <c r="H112" s="63">
        <f>F112*G112</f>
        <v>0</v>
      </c>
      <c r="I112" s="131" t="str">
        <f ca="1">OFFSET(L!$C$1,MATCH("Checker"&amp;"Comp",L!$A:$A,0)-1,SL,,)</f>
        <v>Vollständig</v>
      </c>
      <c r="J112" s="15" t="str">
        <f ca="1">OFFSET(L!$C$1,MATCH("Checker"&amp;ADDRESS(ROW(),COLUMN(),4),L!$A:$A,0)-1,SL,,)</f>
        <v>Nennen Sie ggf. ein oder mehr Produkte oder Gegenstandsnummern, auf die diese Erklärung anwendbar ist. Wählen Sie im Erklärungsreiter Hyperlink in Zelle 6H1, um den Reiter „Produktliste“ einzugeben</v>
      </c>
    </row>
    <row r="113" spans="1:12" ht="22.05" customHeight="1">
      <c r="A113" s="80" t="s">
        <v>1078</v>
      </c>
      <c r="B113" s="79"/>
      <c r="C113" s="79"/>
      <c r="D113" s="193"/>
      <c r="E113" s="16"/>
      <c r="F113" s="84"/>
      <c r="G113" s="62"/>
      <c r="H113" s="63"/>
      <c r="I113" s="131"/>
    </row>
    <row r="114" spans="1:12" ht="38.25">
      <c r="A114" s="135" t="str">
        <f>Declaration!AA12</f>
        <v>Cobalt</v>
      </c>
      <c r="B114" s="79"/>
      <c r="C114" s="136" t="str">
        <f t="shared" ref="C114:C123" ca="1" si="49">IF(H114=1,J114,I114)</f>
        <v>Vollständig</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Vollständig</v>
      </c>
      <c r="J114" s="15" t="str">
        <f ca="1">OFFSET(L!$C$1,MATCH("Checker"&amp;ADDRESS(ROW(),COLUMN(),4),L!$A:$A,0)-1,SL,,)</f>
        <v xml:space="preserve">Geben Sie im Reiter „Smelter List“ eine Liste von Schmelzhütten ein, die angegebenes Mineral für die Lieferkette beitragen  </v>
      </c>
      <c r="K114" s="134">
        <f>IF(H28&gt;0,1,0)</f>
        <v>0</v>
      </c>
    </row>
    <row r="115" spans="1:12" ht="41.55" customHeight="1">
      <c r="A115" s="135" t="str">
        <f>Declaration!AA13</f>
        <v/>
      </c>
      <c r="B115" s="79"/>
      <c r="C115" s="136" t="str">
        <f t="shared" ca="1" si="49"/>
        <v>Vollständig</v>
      </c>
      <c r="D115" s="379" t="str">
        <f>IF(H115=0,"","Click here to provide smelter information")</f>
        <v/>
      </c>
      <c r="E115" s="16"/>
      <c r="F115" s="84">
        <f>F40</f>
        <v>0</v>
      </c>
      <c r="G115" s="62">
        <f>IF(AND(COUNTIF(SmelterIdetifiedForMetal,A115)&gt;0,COUNTIF('Smelter List'!AB$5:AB$2504,A115)&gt;0),0,1)</f>
        <v>0</v>
      </c>
      <c r="H115" s="63">
        <f>F115*G115</f>
        <v>0</v>
      </c>
      <c r="I115" s="131" t="str">
        <f ca="1">OFFSET(L!$C$1,MATCH("Checker"&amp;"Comp",L!$A:$A,0)-1,SL,,)</f>
        <v>Vollständig</v>
      </c>
      <c r="J115" s="15" t="str">
        <f ca="1">OFFSET(L!$C$1,MATCH("Checker"&amp;ADDRESS(ROW(),COLUMN(),4),L!$A:$A,0)-1,SL,,)</f>
        <v xml:space="preserve">Geben Sie im Reiter „Smelter List“ eine Liste von Schmelzhütten ein, die angegebenes Mineral für die Lieferkette beitragen  </v>
      </c>
      <c r="K115" s="134">
        <f t="shared" ref="K115:K119" si="50">IF(H29&gt;0,1,0)</f>
        <v>0</v>
      </c>
    </row>
    <row r="116" spans="1:12" ht="41.55" customHeight="1">
      <c r="A116" s="135" t="str">
        <f>Declaration!AA14</f>
        <v/>
      </c>
      <c r="B116" s="79"/>
      <c r="C116" s="136" t="str">
        <f t="shared" ca="1" si="49"/>
        <v>Vollständig</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Vollständig</v>
      </c>
      <c r="J116" s="15" t="str">
        <f ca="1">OFFSET(L!$C$1,MATCH("Checker"&amp;ADDRESS(ROW(),COLUMN(),4),L!$A:$A,0)-1,SL,,)</f>
        <v xml:space="preserve">Geben Sie im Reiter „Smelter List“ eine Liste von Schmelzhütten ein, die angegebenes Mineral für die Lieferkette beitragen  </v>
      </c>
      <c r="K116" s="134">
        <f t="shared" si="50"/>
        <v>0</v>
      </c>
    </row>
    <row r="117" spans="1:12" ht="41.55" customHeight="1">
      <c r="A117" s="135" t="str">
        <f>Declaration!AA15</f>
        <v/>
      </c>
      <c r="B117" s="79"/>
      <c r="C117" s="136" t="str">
        <f t="shared" ca="1" si="49"/>
        <v>Vollständig</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Vollständig</v>
      </c>
      <c r="J117" s="15" t="str">
        <f ca="1">OFFSET(L!$C$1,MATCH("Checker"&amp;ADDRESS(ROW(),COLUMN(),4),L!$A:$A,0)-1,SL,,)</f>
        <v xml:space="preserve">Geben Sie im Reiter „Smelter List“ eine Liste von Schmelzhütten ein, die angegebenes Mineral für die Lieferkette beitragen  </v>
      </c>
      <c r="K117" s="134">
        <f t="shared" si="50"/>
        <v>0</v>
      </c>
    </row>
    <row r="118" spans="1:12" ht="41.55" customHeight="1">
      <c r="A118" s="135" t="str">
        <f>Declaration!AA16</f>
        <v/>
      </c>
      <c r="B118" s="79"/>
      <c r="C118" s="136" t="str">
        <f t="shared" ca="1" si="49"/>
        <v>Vollständig</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Vollständig</v>
      </c>
      <c r="J118" s="15" t="str">
        <f ca="1">OFFSET(L!$C$1,MATCH("Checker"&amp;ADDRESS(ROW(),COLUMN(),4),L!$A:$A,0)-1,SL,,)</f>
        <v xml:space="preserve">Geben Sie im Reiter „Smelter List“ eine Liste von Schmelzhütten ein, die angegebenes Mineral für die Lieferkette beitragen  </v>
      </c>
      <c r="K118" s="134">
        <f t="shared" si="50"/>
        <v>0</v>
      </c>
    </row>
    <row r="119" spans="1:12" ht="41.55" customHeight="1">
      <c r="A119" s="135" t="str">
        <f>Declaration!AA17</f>
        <v/>
      </c>
      <c r="B119" s="79"/>
      <c r="C119" s="136" t="str">
        <f t="shared" ca="1" si="49"/>
        <v>Vollständig</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Vollständig</v>
      </c>
      <c r="J119" s="15" t="str">
        <f ca="1">OFFSET(L!$C$1,MATCH("Checker"&amp;ADDRESS(ROW(),COLUMN(),4),L!$A:$A,0)-1,SL,,)</f>
        <v xml:space="preserve">Geben Sie im Reiter „Smelter List“ eine Liste von Schmelzhütten ein, die angegebenes Mineral für die Lieferkette beitragen  </v>
      </c>
      <c r="K119" s="134">
        <f t="shared" si="50"/>
        <v>0</v>
      </c>
    </row>
    <row r="120" spans="1:12" ht="25.05" hidden="1" customHeight="1">
      <c r="A120" s="135" t="str">
        <f>Declaration!AA18</f>
        <v/>
      </c>
      <c r="B120" s="79"/>
      <c r="C120" s="136">
        <f t="shared" si="49"/>
        <v>0</v>
      </c>
      <c r="D120" s="220"/>
      <c r="E120" s="16"/>
      <c r="F120" s="84"/>
      <c r="G120" s="62"/>
      <c r="H120" s="63"/>
      <c r="I120" s="131"/>
      <c r="K120" s="134"/>
    </row>
    <row r="121" spans="1:12" ht="25.05" hidden="1" customHeight="1">
      <c r="A121" s="135" t="str">
        <f>Declaration!AA19</f>
        <v/>
      </c>
      <c r="B121" s="79"/>
      <c r="C121" s="136">
        <f t="shared" si="49"/>
        <v>0</v>
      </c>
      <c r="D121" s="220"/>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Vollständig</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203125" defaultRowHeight="12.4"/>
  <cols>
    <col min="1" max="1" width="17.29296875" style="346" customWidth="1"/>
    <col min="2" max="2" width="34.8203125" style="346" customWidth="1"/>
    <col min="3" max="3" width="23.29296875" style="346" customWidth="1"/>
    <col min="4" max="5" width="15.46875" style="346" customWidth="1"/>
    <col min="6" max="6" width="28.46875" style="346" customWidth="1"/>
    <col min="7" max="7" width="27.29296875" style="346" customWidth="1"/>
    <col min="8" max="8" width="20.703125" style="346" customWidth="1"/>
    <col min="9" max="9" width="30.8203125" style="346" customWidth="1"/>
    <col min="10" max="10" width="23.29296875" style="346" customWidth="1"/>
    <col min="11" max="11" width="39.703125" style="346" customWidth="1"/>
    <col min="12" max="12" width="47.703125" style="346" customWidth="1"/>
    <col min="13" max="13" width="36.29296875" style="346" customWidth="1"/>
    <col min="14" max="14" width="15.17578125" style="346" hidden="1" customWidth="1"/>
    <col min="15" max="15" width="18.703125" style="346" hidden="1" customWidth="1"/>
    <col min="16" max="16" width="14.17578125" style="346" hidden="1" customWidth="1"/>
    <col min="17" max="17" width="18.46875" style="346" hidden="1" customWidth="1"/>
    <col min="18" max="18" width="17.703125" style="346" hidden="1" customWidth="1"/>
    <col min="19" max="19" width="22.46875" style="346" hidden="1" customWidth="1"/>
    <col min="20" max="20" width="16.703125" style="346" customWidth="1"/>
    <col min="21" max="21" width="14" style="346" customWidth="1"/>
    <col min="22" max="22" width="15.46875" style="346" customWidth="1"/>
    <col min="23" max="23" width="11" style="346" customWidth="1"/>
    <col min="24" max="26" width="10" style="346" customWidth="1"/>
  </cols>
  <sheetData>
    <row r="1" spans="1:19" ht="7.5" hidden="1" customHeight="1"/>
    <row r="2" spans="1:19" s="324" customFormat="1" ht="22.9">
      <c r="A2" s="325"/>
      <c r="B2" s="471" t="str">
        <f ca="1">OFFSET(L!$C$1,MATCH("Mine List"&amp;ADDRESS(ROW(),COLUMN(),4),L!$A:$A,0)-1,SL,,)</f>
        <v>UM ZU BEGINNEN:</v>
      </c>
      <c r="C2" s="471" t="s">
        <v>19144</v>
      </c>
      <c r="D2" s="471" t="s">
        <v>19144</v>
      </c>
      <c r="E2" s="326"/>
      <c r="F2" s="326"/>
      <c r="G2" s="327"/>
      <c r="H2" s="472"/>
      <c r="I2" s="473"/>
      <c r="J2" s="473"/>
      <c r="K2" s="473"/>
      <c r="L2" s="473"/>
      <c r="M2" s="473"/>
      <c r="N2" s="328"/>
      <c r="O2" s="328"/>
    </row>
    <row r="3" spans="1:19" s="324" customFormat="1" ht="94.05" customHeight="1" thickBot="1">
      <c r="A3" s="360"/>
      <c r="B3" s="474" t="str">
        <f ca="1">OFFSET(L!$C$1,MATCH("Mine List"&amp;ADDRESS(ROW(),COLUMN(),4),L!$A:$A,0)-1,SL,,)</f>
        <v>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v>
      </c>
      <c r="C3" s="474" t="s">
        <v>19144</v>
      </c>
      <c r="D3" s="474" t="s">
        <v>19144</v>
      </c>
      <c r="E3" s="475" t="s">
        <v>19142</v>
      </c>
      <c r="F3" s="475"/>
      <c r="G3" s="476"/>
      <c r="H3" s="329"/>
      <c r="I3" s="330"/>
      <c r="K3" s="331"/>
      <c r="L3" s="331"/>
      <c r="M3" s="332" t="s">
        <v>19342</v>
      </c>
      <c r="N3" s="333"/>
      <c r="O3" s="333"/>
    </row>
    <row r="4" spans="1:19" s="335" customFormat="1" ht="93" customHeight="1" thickBot="1">
      <c r="A4" s="365" t="str">
        <f ca="1">OFFSET(L!$C$1,MATCH("Mine List"&amp;ADDRESS(ROW(),COLUMN(),4),L!$A:$A,0)-1,SL,,)</f>
        <v>Metall</v>
      </c>
      <c r="B4" s="366" t="str">
        <f ca="1">OFFSET(L!$C$1,MATCH("Mine List"&amp;ADDRESS(ROW(),COLUMN(),4),L!$A:$A,0)-1,SL,,)</f>
        <v>Name der Schmelzhütte(n), die ihre Rohstoffe aus dieser Bergbauanlage beziehen</v>
      </c>
      <c r="C4" s="366">
        <f ca="1">OFFSET(L!$C$1,MATCH("Mine List"&amp;ADDRESS(ROW(),COLUMN(),4),L!$A:$A,0)-1,SL,,)</f>
        <v>0</v>
      </c>
      <c r="D4" s="366" t="str">
        <f ca="1">OFFSET(L!$C$1,MATCH("Mine List"&amp;ADDRESS(ROW(),COLUMN(),4),L!$A:$A,0)-1,SL,,)</f>
        <v>Bergbauanlage Identifikation (z.B. CID)</v>
      </c>
      <c r="E4" s="366" t="str">
        <f ca="1">OFFSET(L!$C$1,MATCH("Mine List"&amp;ADDRESS(ROW(),COLUMN(),4),L!$A:$A,0)-1,SL,,)</f>
        <v>Quelle der Bergbauanlage Identifikationsnummer</v>
      </c>
      <c r="F4" s="366" t="str">
        <f ca="1">OFFSET(L!$C$1,MATCH("Mine List"&amp;ADDRESS(ROW(),COLUMN(),4),L!$A:$A,0)-1,SL,,)</f>
        <v>Schmelzhütten: Land (*)</v>
      </c>
      <c r="G4" s="366" t="str">
        <f ca="1">OFFSET(L!$C$1,MATCH("Mine List"&amp;ADDRESS(ROW(),COLUMN(),4),L!$A:$A,0)-1,SL,,)</f>
        <v>Schmelzhütten: Straße</v>
      </c>
      <c r="H4" s="366" t="str">
        <f ca="1">OFFSET(L!$C$1,MATCH("Mine List"&amp;ADDRESS(ROW(),COLUMN(),4),L!$A:$A,0)-1,SL,,)</f>
        <v>Schmelzhütten: Stadt</v>
      </c>
      <c r="I4" s="366" t="str">
        <f ca="1">OFFSET(L!$C$1,MATCH("Mine List"&amp;ADDRESS(ROW(),COLUMN(),4),L!$A:$A,0)-1,SL,,)</f>
        <v>Schmelzhütten: Bundesland/Provinz</v>
      </c>
      <c r="J4" s="366" t="str">
        <f ca="1">OFFSET(L!$C$1,MATCH("Mine List"&amp;ADDRESS(ROW(),COLUMN(),4),L!$A:$A,0)-1,SL,,)</f>
        <v xml:space="preserve">Schmelzhütten-Ansprechpartner: Name </v>
      </c>
      <c r="K4" s="366" t="str">
        <f ca="1">OFFSET(L!$C$1,MATCH("Mine List"&amp;ADDRESS(ROW(),COLUMN(),4),L!$A:$A,0)-1,SL,,)</f>
        <v>Schmelzhütten-Ansprechpartner: E-mail</v>
      </c>
      <c r="L4" s="366" t="str">
        <f ca="1">OFFSET(L!$C$1,MATCH("Mine List"&amp;ADDRESS(ROW(),COLUMN(),4),L!$A:$A,0)-1,SL,,)</f>
        <v>Vorgeschlagene nächste Schritte</v>
      </c>
      <c r="M4" s="367" t="str">
        <f ca="1">OFFSET(L!$C$1,MATCH("Mine List"&amp;ADDRESS(ROW(),COLUMN(),4),L!$A:$A,0)-1,SL,,)</f>
        <v>Kommentare</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4"/>
  <cols>
    <col min="1" max="1" width="3" style="15" customWidth="1"/>
    <col min="2" max="2" width="40" style="91" customWidth="1"/>
    <col min="3" max="3" width="40" style="15" customWidth="1"/>
    <col min="4" max="4" width="59" style="15" customWidth="1"/>
    <col min="5" max="5" width="1.703125" style="15" customWidth="1"/>
    <col min="6" max="6" width="72" customWidth="1"/>
    <col min="7" max="35" width="9" customWidth="1"/>
    <col min="36" max="16384" width="9" style="17"/>
  </cols>
  <sheetData>
    <row r="1" spans="1:35" ht="34.5" customHeight="1" thickTop="1">
      <c r="A1" s="478" t="str">
        <f ca="1">OFFSET(L!$C$1,MATCH("Product List"&amp;ADDRESS(ROW(),COLUMN(),4),L!$A:$A,0)-1,SL,,)</f>
        <v>Abschluss nur erforderlich, wenn die Ebene "Produkt (oder eine Liste von Produkten)" auf der "Erklärung" Arbeitsblatt ausgewählt wurde</v>
      </c>
      <c r="B1" s="479"/>
      <c r="C1" s="479"/>
      <c r="D1" s="479"/>
      <c r="E1" s="107"/>
    </row>
    <row r="2" spans="1:35" ht="12.75">
      <c r="A2" s="19"/>
      <c r="B2" s="109"/>
      <c r="C2" s="109"/>
      <c r="D2"/>
      <c r="E2" s="20"/>
    </row>
    <row r="3" spans="1:35" ht="12.75">
      <c r="A3" s="19"/>
      <c r="B3" s="109"/>
      <c r="C3" s="109"/>
      <c r="D3" s="109"/>
      <c r="E3" s="20"/>
    </row>
    <row r="4" spans="1:35" ht="15.75" customHeight="1">
      <c r="A4" s="19"/>
      <c r="B4" s="477" t="s">
        <v>47</v>
      </c>
      <c r="C4" s="477"/>
      <c r="D4" s="477"/>
      <c r="E4" s="20"/>
    </row>
    <row r="5" spans="1:35" ht="30" customHeight="1">
      <c r="A5" s="121"/>
      <c r="B5" s="123" t="str">
        <f ca="1">OFFSET(L!$C$1,MATCH("Product List"&amp;ADDRESS(ROW(),COLUMN(),4),L!$A:$A,0)-1,SL,,)</f>
        <v>Produkt- oder Artikelnummer des Befragten (*)</v>
      </c>
      <c r="C5" s="123" t="str">
        <f ca="1">OFFSET(L!$C$1,MATCH("Product List"&amp;ADDRESS(ROW(),COLUMN(),4),L!$A:$A,0)-1,SL,,)</f>
        <v>Produkt- oder Artikelbeschreibung des Befragten</v>
      </c>
      <c r="D5" s="64" t="str">
        <f ca="1">OFFSET(L!$C$1,MATCH("Product List"&amp;ADDRESS(ROW(),COLUMN(),4),L!$A:$A,0)-1,SL,,)</f>
        <v>Kommentare</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0" t="str">
        <f ca="1">OFFSET(L!$C$1,MATCH("General"&amp;"Cpy",L!$A:$A,0)-1,SL,,)</f>
        <v>© 2025 Responsible Minerals Initiative. All rights reserved.</v>
      </c>
      <c r="C1001" s="480"/>
      <c r="D1001" s="480"/>
      <c r="E1001" s="21"/>
    </row>
    <row r="1002" spans="1:35" ht="12.7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4"/>
  <cols>
    <col min="1" max="1" width="9" style="156" bestFit="1" customWidth="1"/>
    <col min="2" max="2" width="43" style="156" customWidth="1"/>
    <col min="3" max="3" width="40" style="156" customWidth="1"/>
    <col min="4" max="4" width="23" style="156" customWidth="1"/>
    <col min="5" max="5" width="12.703125" style="156" customWidth="1"/>
    <col min="6" max="6" width="12.703125" style="157" customWidth="1"/>
    <col min="7" max="7" width="15.17578125" style="156" customWidth="1"/>
    <col min="8" max="8" width="24" style="156" customWidth="1"/>
    <col min="9" max="9" width="28" style="156" customWidth="1"/>
    <col min="10" max="10" width="11" style="156" hidden="1" customWidth="1"/>
    <col min="11" max="11" width="110.703125" style="156" hidden="1" customWidth="1"/>
    <col min="12" max="12" width="17.46875" style="156" customWidth="1"/>
    <col min="13" max="13" width="16" style="156" customWidth="1"/>
    <col min="14" max="16384" width="9" style="156"/>
  </cols>
  <sheetData>
    <row r="1" spans="1:13" ht="180" customHeight="1">
      <c r="A1" s="481"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60" customFormat="1" ht="103.5" customHeight="1">
      <c r="A4" s="158" t="str">
        <f ca="1">OFFSET(L!$C$1,MATCH("Smelter Look-up"&amp;ADDRESS(ROW(),COLUMN(),4),L!$A:$A,0)-1,SL,,)</f>
        <v>Metall</v>
      </c>
      <c r="B4" s="158" t="str">
        <f ca="1">OFFSET(L!$C$1,MATCH("Smelter Look-up"&amp;ADDRESS(ROW(),COLUMN(),4),L!$A:$A,0)-1,SL,,)</f>
        <v>Schmelzhüttensuche (*)</v>
      </c>
      <c r="C4" s="158" t="str">
        <f ca="1">OFFSET(L!$C$1,MATCH("Smelter Look-up"&amp;ADDRESS(ROW(),COLUMN(),4),L!$A:$A,0)-1,SL,,)</f>
        <v>Standard Schmelzhütten Namen</v>
      </c>
      <c r="D4" s="158" t="str">
        <f ca="1">OFFSET(L!$C$1,MATCH("Smelter Look-up"&amp;ADDRESS(ROW(),COLUMN(),4),L!$A:$A,0)-1,SL,,)</f>
        <v>Schmelzhütte: Land</v>
      </c>
      <c r="E4" s="158" t="str">
        <f ca="1">OFFSET(L!$C$1,MATCH("Smelter Look-up"&amp;ADDRESS(ROW(),COLUMN(),4),L!$A:$A,0)-1,SL,,)</f>
        <v>Schmelzhütten-ID</v>
      </c>
      <c r="F4" s="158" t="str">
        <f ca="1">OFFSET(L!$C$1,MATCH("Smelter Look-up"&amp;ADDRESS(ROW(),COLUMN(),4),L!$A:$A,0)-1,SL,,)</f>
        <v>Quelle der Schmelzhütte Id-Nummer</v>
      </c>
      <c r="G4" s="158" t="str">
        <f ca="1">OFFSET(L!$C$1,MATCH("Smelter Look-up"&amp;ADDRESS(ROW(),COLUMN(),4),L!$A:$A,0)-1,SL,,)</f>
        <v>Schmelzhütten: Straße</v>
      </c>
      <c r="H4" s="158" t="str">
        <f ca="1">OFFSET(L!$C$1,MATCH("Smelter Look-up"&amp;ADDRESS(ROW(),COLUMN(),4),L!$A:$A,0)-1,SL,,)</f>
        <v>Schmelzhütten: Stadt</v>
      </c>
      <c r="I4" s="158" t="str">
        <f ca="1">OFFSET(L!$C$1,MATCH("Smelter Look-up"&amp;ADDRESS(ROW(),COLUMN(),4),L!$A:$A,0)-1,SL,,)</f>
        <v>Schmelzhütten: Bundesland/Provinz</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Jochen Hilbert</cp:lastModifiedBy>
  <cp:revision/>
  <dcterms:created xsi:type="dcterms:W3CDTF">2010-06-21T21:00:23Z</dcterms:created>
  <dcterms:modified xsi:type="dcterms:W3CDTF">2025-05-23T07:37:36Z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